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OneDrive\Skaut\Liberecký kraj\dotace\dotace 2017\"/>
    </mc:Choice>
  </mc:AlternateContent>
  <bookViews>
    <workbookView xWindow="0" yWindow="0" windowWidth="25365" windowHeight="11535"/>
  </bookViews>
  <sheets>
    <sheet name="Rozdělení dotací 2017" sheetId="1" r:id="rId1"/>
  </sheets>
  <definedNames>
    <definedName name="_xlnm.Print_Area" localSheetId="0">'Rozdělení dotací 2017'!$A$1:$AI$41</definedName>
  </definedNames>
  <calcPr calcId="162913"/>
  <fileRecoveryPr autoRecover="0"/>
</workbook>
</file>

<file path=xl/calcChain.xml><?xml version="1.0" encoding="utf-8"?>
<calcChain xmlns="http://schemas.openxmlformats.org/spreadsheetml/2006/main">
  <c r="H5" i="1" l="1"/>
  <c r="E5" i="1"/>
  <c r="F41" i="1" l="1"/>
  <c r="F40" i="1"/>
  <c r="BG31" i="1" l="1"/>
  <c r="BG32" i="1"/>
  <c r="BG33" i="1"/>
  <c r="BG34" i="1"/>
  <c r="BG35" i="1"/>
  <c r="BG30" i="1"/>
  <c r="BG21" i="1"/>
  <c r="BG22" i="1"/>
  <c r="BG23" i="1"/>
  <c r="BG24" i="1"/>
  <c r="BG25" i="1"/>
  <c r="BG26" i="1"/>
  <c r="BG27" i="1"/>
  <c r="BG20" i="1"/>
  <c r="BG17" i="1"/>
  <c r="BG12" i="1"/>
  <c r="BG13" i="1"/>
  <c r="BG14" i="1"/>
  <c r="BG11" i="1"/>
  <c r="BE31" i="1"/>
  <c r="BE32" i="1"/>
  <c r="BE33" i="1"/>
  <c r="BE34" i="1"/>
  <c r="BE35" i="1"/>
  <c r="BE30" i="1"/>
  <c r="BE21" i="1"/>
  <c r="BE22" i="1"/>
  <c r="BE23" i="1"/>
  <c r="BE24" i="1"/>
  <c r="BE25" i="1"/>
  <c r="BE26" i="1"/>
  <c r="BE27" i="1"/>
  <c r="BE20" i="1"/>
  <c r="BE17" i="1"/>
  <c r="BE12" i="1"/>
  <c r="BE13" i="1"/>
  <c r="BE14" i="1"/>
  <c r="BE11" i="1"/>
  <c r="BQ37" i="1"/>
  <c r="BF37" i="1"/>
  <c r="BH37" i="1"/>
  <c r="BJ37" i="1"/>
  <c r="BG37" i="1" l="1"/>
  <c r="K32" i="1"/>
  <c r="AN37" i="1" l="1"/>
  <c r="AM37" i="1"/>
  <c r="AL37" i="1"/>
  <c r="AS37" i="1"/>
  <c r="AY34" i="1"/>
  <c r="AK14" i="1"/>
  <c r="AT14" i="1" s="1"/>
  <c r="AY35" i="1"/>
  <c r="AY33" i="1"/>
  <c r="AY32" i="1"/>
  <c r="AY31" i="1"/>
  <c r="AY30" i="1"/>
  <c r="AY27" i="1"/>
  <c r="AY26" i="1"/>
  <c r="AY25" i="1"/>
  <c r="AY24" i="1"/>
  <c r="AY23" i="1"/>
  <c r="AY22" i="1"/>
  <c r="AY21" i="1"/>
  <c r="AY20" i="1"/>
  <c r="AY17" i="1"/>
  <c r="AY14" i="1"/>
  <c r="AY13" i="1"/>
  <c r="AY12" i="1"/>
  <c r="AY11" i="1"/>
  <c r="H3" i="1"/>
  <c r="BK11" i="1" l="1"/>
  <c r="CE11" i="1" l="1"/>
  <c r="CF11" i="1" s="1"/>
  <c r="BX37" i="1"/>
  <c r="BZ11" i="1"/>
  <c r="CA11" i="1" s="1"/>
  <c r="BZ12" i="1"/>
  <c r="CA12" i="1" s="1"/>
  <c r="BZ13" i="1"/>
  <c r="CA13" i="1" s="1"/>
  <c r="BZ14" i="1"/>
  <c r="CA14" i="1" s="1"/>
  <c r="AK11" i="1" l="1"/>
  <c r="AT11" i="1" l="1"/>
  <c r="AF38" i="1"/>
  <c r="P30" i="1"/>
  <c r="P34" i="1"/>
  <c r="P33" i="1"/>
  <c r="P32" i="1"/>
  <c r="P31" i="1"/>
  <c r="P27" i="1"/>
  <c r="P26" i="1"/>
  <c r="P25" i="1"/>
  <c r="P24" i="1"/>
  <c r="P23" i="1"/>
  <c r="P22" i="1"/>
  <c r="P21" i="1"/>
  <c r="P35" i="1"/>
  <c r="P20" i="1"/>
  <c r="E37" i="1"/>
  <c r="P17" i="1"/>
  <c r="P14" i="1"/>
  <c r="P13" i="1"/>
  <c r="P11" i="1"/>
  <c r="P12" i="1"/>
  <c r="D37" i="1"/>
  <c r="U34" i="1" l="1"/>
  <c r="U33" i="1"/>
  <c r="U32" i="1"/>
  <c r="U31" i="1"/>
  <c r="U30" i="1"/>
  <c r="U35" i="1"/>
  <c r="U17" i="1"/>
  <c r="AK32" i="1" l="1"/>
  <c r="AT32" i="1" s="1"/>
  <c r="BV37" i="1" l="1"/>
  <c r="BU37" i="1"/>
  <c r="BR35" i="1"/>
  <c r="BR34" i="1"/>
  <c r="BR33" i="1"/>
  <c r="BR32" i="1"/>
  <c r="BR31" i="1"/>
  <c r="BR30" i="1"/>
  <c r="BR27" i="1"/>
  <c r="BR26" i="1"/>
  <c r="BR25" i="1"/>
  <c r="BR24" i="1"/>
  <c r="BR23" i="1"/>
  <c r="BR22" i="1"/>
  <c r="BR21" i="1"/>
  <c r="BR20" i="1"/>
  <c r="BR17" i="1"/>
  <c r="BR14" i="1"/>
  <c r="BR13" i="1"/>
  <c r="BR12" i="1"/>
  <c r="BR11" i="1"/>
  <c r="AK12" i="1"/>
  <c r="AK17" i="1"/>
  <c r="AT17" i="1" s="1"/>
  <c r="BI20" i="1" l="1"/>
  <c r="BI24" i="1"/>
  <c r="BI30" i="1"/>
  <c r="BI34" i="1"/>
  <c r="BI21" i="1"/>
  <c r="BI25" i="1"/>
  <c r="BI31" i="1"/>
  <c r="BI35" i="1"/>
  <c r="BI22" i="1"/>
  <c r="BI26" i="1"/>
  <c r="BI32" i="1"/>
  <c r="BI17" i="1"/>
  <c r="BI23" i="1"/>
  <c r="BI27" i="1"/>
  <c r="BI33" i="1"/>
  <c r="BI12" i="1"/>
  <c r="BM12" i="1" s="1"/>
  <c r="BI13" i="1"/>
  <c r="BI14" i="1"/>
  <c r="BI11" i="1"/>
  <c r="BM11" i="1" s="1"/>
  <c r="BE37" i="1"/>
  <c r="AT12" i="1"/>
  <c r="BR37" i="1"/>
  <c r="W37" i="1"/>
  <c r="Z37" i="1" s="1"/>
  <c r="AO37" i="1"/>
  <c r="AP37" i="1"/>
  <c r="AQ37" i="1"/>
  <c r="AZ11" i="1"/>
  <c r="BA11" i="1" s="1"/>
  <c r="AZ12" i="1"/>
  <c r="BA12" i="1" s="1"/>
  <c r="AZ13" i="1"/>
  <c r="BA13" i="1" s="1"/>
  <c r="AZ14" i="1"/>
  <c r="BA14" i="1" s="1"/>
  <c r="AZ17" i="1"/>
  <c r="BA17" i="1" s="1"/>
  <c r="AZ20" i="1"/>
  <c r="BA20" i="1" s="1"/>
  <c r="AZ21" i="1"/>
  <c r="BA21" i="1" s="1"/>
  <c r="AZ22" i="1"/>
  <c r="BA22" i="1" s="1"/>
  <c r="AZ23" i="1"/>
  <c r="BA23" i="1" s="1"/>
  <c r="AZ24" i="1"/>
  <c r="BA24" i="1" s="1"/>
  <c r="AZ25" i="1"/>
  <c r="BA25" i="1" s="1"/>
  <c r="AZ26" i="1"/>
  <c r="BA26" i="1" s="1"/>
  <c r="AZ27" i="1"/>
  <c r="BA27" i="1" s="1"/>
  <c r="AZ30" i="1"/>
  <c r="BA30" i="1" s="1"/>
  <c r="AZ31" i="1"/>
  <c r="BA31" i="1" s="1"/>
  <c r="AZ32" i="1"/>
  <c r="BA32" i="1" s="1"/>
  <c r="AZ33" i="1"/>
  <c r="BA33" i="1" s="1"/>
  <c r="AZ34" i="1"/>
  <c r="BA34" i="1" s="1"/>
  <c r="AZ35" i="1"/>
  <c r="BA35" i="1" s="1"/>
  <c r="BK12" i="1"/>
  <c r="BK13" i="1"/>
  <c r="BK14" i="1"/>
  <c r="BK17" i="1"/>
  <c r="BK20" i="1"/>
  <c r="BK21" i="1"/>
  <c r="BK22" i="1"/>
  <c r="BK23" i="1"/>
  <c r="BK24" i="1"/>
  <c r="BK25" i="1"/>
  <c r="BK26" i="1"/>
  <c r="BK27" i="1"/>
  <c r="BK30" i="1"/>
  <c r="BK31" i="1"/>
  <c r="BK32" i="1"/>
  <c r="BK33" i="1"/>
  <c r="BK34" i="1"/>
  <c r="BK35" i="1"/>
  <c r="CE12" i="1"/>
  <c r="CF12" i="1" s="1"/>
  <c r="CE13" i="1"/>
  <c r="CF13" i="1" s="1"/>
  <c r="CE14" i="1"/>
  <c r="CF14" i="1" s="1"/>
  <c r="CE17" i="1"/>
  <c r="CF17" i="1" s="1"/>
  <c r="CE20" i="1"/>
  <c r="CF20" i="1" s="1"/>
  <c r="CE21" i="1"/>
  <c r="CF21" i="1" s="1"/>
  <c r="CE22" i="1"/>
  <c r="CF22" i="1" s="1"/>
  <c r="CE23" i="1"/>
  <c r="CF23" i="1" s="1"/>
  <c r="CE24" i="1"/>
  <c r="CF24" i="1" s="1"/>
  <c r="CE25" i="1"/>
  <c r="CF25" i="1" s="1"/>
  <c r="CE26" i="1"/>
  <c r="CF26" i="1" s="1"/>
  <c r="CE27" i="1"/>
  <c r="CF27" i="1" s="1"/>
  <c r="CE30" i="1"/>
  <c r="CF30" i="1" s="1"/>
  <c r="CE31" i="1"/>
  <c r="CF31" i="1" s="1"/>
  <c r="CE32" i="1"/>
  <c r="CF32" i="1" s="1"/>
  <c r="CE33" i="1"/>
  <c r="CF33" i="1" s="1"/>
  <c r="CE34" i="1"/>
  <c r="CF34" i="1" s="1"/>
  <c r="CE35" i="1"/>
  <c r="CF35" i="1" s="1"/>
  <c r="AK13" i="1"/>
  <c r="BZ17" i="1"/>
  <c r="CA17" i="1" s="1"/>
  <c r="BZ20" i="1"/>
  <c r="CA20" i="1" s="1"/>
  <c r="AK20" i="1"/>
  <c r="BZ21" i="1"/>
  <c r="CA21" i="1" s="1"/>
  <c r="AK21" i="1"/>
  <c r="AT21" i="1" s="1"/>
  <c r="BZ22" i="1"/>
  <c r="CA22" i="1" s="1"/>
  <c r="AK22" i="1"/>
  <c r="AT22" i="1" s="1"/>
  <c r="AU22" i="1" s="1"/>
  <c r="AV22" i="1" s="1"/>
  <c r="BZ23" i="1"/>
  <c r="CA23" i="1" s="1"/>
  <c r="AK23" i="1"/>
  <c r="BZ24" i="1"/>
  <c r="CA24" i="1" s="1"/>
  <c r="AK24" i="1"/>
  <c r="BZ25" i="1"/>
  <c r="CA25" i="1" s="1"/>
  <c r="AK25" i="1"/>
  <c r="BZ26" i="1"/>
  <c r="CA26" i="1" s="1"/>
  <c r="AK26" i="1"/>
  <c r="AT26" i="1" s="1"/>
  <c r="AU26" i="1" s="1"/>
  <c r="AV26" i="1" s="1"/>
  <c r="BZ27" i="1"/>
  <c r="CA27" i="1" s="1"/>
  <c r="AK27" i="1"/>
  <c r="AT27" i="1" s="1"/>
  <c r="AU27" i="1" s="1"/>
  <c r="AV27" i="1" s="1"/>
  <c r="BZ30" i="1"/>
  <c r="CA30" i="1" s="1"/>
  <c r="AK30" i="1"/>
  <c r="BZ31" i="1"/>
  <c r="CA31" i="1" s="1"/>
  <c r="AK31" i="1"/>
  <c r="AT31" i="1" s="1"/>
  <c r="AU31" i="1" s="1"/>
  <c r="AV31" i="1" s="1"/>
  <c r="BZ32" i="1"/>
  <c r="CA32" i="1" s="1"/>
  <c r="BZ33" i="1"/>
  <c r="CA33" i="1" s="1"/>
  <c r="AK33" i="1"/>
  <c r="BZ34" i="1"/>
  <c r="CA34" i="1" s="1"/>
  <c r="AK34" i="1"/>
  <c r="AT34" i="1" s="1"/>
  <c r="AU34" i="1" s="1"/>
  <c r="AV34" i="1" s="1"/>
  <c r="BZ35" i="1"/>
  <c r="CA35" i="1" s="1"/>
  <c r="AK35" i="1"/>
  <c r="U11" i="1"/>
  <c r="U12" i="1"/>
  <c r="U13" i="1"/>
  <c r="U14" i="1"/>
  <c r="U20" i="1"/>
  <c r="U21" i="1"/>
  <c r="U22" i="1"/>
  <c r="U23" i="1"/>
  <c r="U24" i="1"/>
  <c r="U25" i="1"/>
  <c r="U26" i="1"/>
  <c r="U27" i="1"/>
  <c r="CE10" i="1"/>
  <c r="CE19" i="1"/>
  <c r="AX37" i="1"/>
  <c r="AU32" i="1"/>
  <c r="AV32" i="1" s="1"/>
  <c r="AU21" i="1"/>
  <c r="AV21" i="1" s="1"/>
  <c r="AU14" i="1"/>
  <c r="AV14" i="1" s="1"/>
  <c r="AU12" i="1"/>
  <c r="AV12" i="1" s="1"/>
  <c r="AU17" i="1"/>
  <c r="AU11" i="1"/>
  <c r="AV11" i="1" s="1"/>
  <c r="CC37" i="1"/>
  <c r="CD37" i="1"/>
  <c r="BT37" i="1"/>
  <c r="BS37" i="1"/>
  <c r="AY37" i="1"/>
  <c r="BL37" i="1"/>
  <c r="BM35" i="1" l="1"/>
  <c r="BM34" i="1"/>
  <c r="BM33" i="1"/>
  <c r="BM30" i="1"/>
  <c r="BM17" i="1"/>
  <c r="BM14" i="1"/>
  <c r="BM27" i="1"/>
  <c r="BM26" i="1"/>
  <c r="BM25" i="1"/>
  <c r="BM24" i="1"/>
  <c r="BM32" i="1"/>
  <c r="BM31" i="1"/>
  <c r="BM13" i="1"/>
  <c r="BM23" i="1"/>
  <c r="BM22" i="1"/>
  <c r="BM21" i="1"/>
  <c r="BM20" i="1"/>
  <c r="BI37" i="1"/>
  <c r="AK37" i="1"/>
  <c r="CG11" i="1"/>
  <c r="CH11" i="1" s="1"/>
  <c r="AT35" i="1"/>
  <c r="AU35" i="1" s="1"/>
  <c r="AV35" i="1" s="1"/>
  <c r="AT33" i="1"/>
  <c r="AU33" i="1" s="1"/>
  <c r="AV33" i="1" s="1"/>
  <c r="AT30" i="1"/>
  <c r="AU30" i="1" s="1"/>
  <c r="AV30" i="1" s="1"/>
  <c r="AT25" i="1"/>
  <c r="AU25" i="1" s="1"/>
  <c r="AV25" i="1" s="1"/>
  <c r="AT24" i="1"/>
  <c r="AU24" i="1" s="1"/>
  <c r="AV24" i="1" s="1"/>
  <c r="AT23" i="1"/>
  <c r="AU23" i="1" s="1"/>
  <c r="AV23" i="1" s="1"/>
  <c r="AT20" i="1"/>
  <c r="AU20" i="1" s="1"/>
  <c r="AT13" i="1"/>
  <c r="AU13" i="1" s="1"/>
  <c r="AV13" i="1" s="1"/>
  <c r="W40" i="1"/>
  <c r="W5" i="1" s="1"/>
  <c r="BK37" i="1"/>
  <c r="AV17" i="1"/>
  <c r="AZ37" i="1"/>
  <c r="BA37" i="1" s="1"/>
  <c r="CE37" i="1"/>
  <c r="CF37" i="1" s="1"/>
  <c r="CG30" i="1"/>
  <c r="CH30" i="1" s="1"/>
  <c r="CG31" i="1"/>
  <c r="CH31" i="1" s="1"/>
  <c r="CG32" i="1"/>
  <c r="CH32" i="1" s="1"/>
  <c r="CG33" i="1"/>
  <c r="CH33" i="1" s="1"/>
  <c r="CG12" i="1"/>
  <c r="CH12" i="1" s="1"/>
  <c r="CG13" i="1"/>
  <c r="CH13" i="1" s="1"/>
  <c r="CG14" i="1"/>
  <c r="CH14" i="1" s="1"/>
  <c r="CG17" i="1"/>
  <c r="CH17" i="1" s="1"/>
  <c r="CG20" i="1"/>
  <c r="CH20" i="1" s="1"/>
  <c r="CG21" i="1"/>
  <c r="CH21" i="1" s="1"/>
  <c r="CG22" i="1"/>
  <c r="CH22" i="1" s="1"/>
  <c r="CG23" i="1"/>
  <c r="CH23" i="1" s="1"/>
  <c r="CG24" i="1"/>
  <c r="CH24" i="1" s="1"/>
  <c r="CG25" i="1"/>
  <c r="CH25" i="1" s="1"/>
  <c r="CG26" i="1"/>
  <c r="CH26" i="1" s="1"/>
  <c r="CG27" i="1"/>
  <c r="CH27" i="1" s="1"/>
  <c r="CG34" i="1"/>
  <c r="CH34" i="1" s="1"/>
  <c r="CG35" i="1"/>
  <c r="CH35" i="1" s="1"/>
  <c r="BB11" i="1"/>
  <c r="BC11" i="1" s="1"/>
  <c r="BB13" i="1"/>
  <c r="BC13" i="1" s="1"/>
  <c r="BB17" i="1"/>
  <c r="BC17" i="1" s="1"/>
  <c r="BB21" i="1"/>
  <c r="BC21" i="1" s="1"/>
  <c r="BB23" i="1"/>
  <c r="BC23" i="1" s="1"/>
  <c r="BB25" i="1"/>
  <c r="BC25" i="1" s="1"/>
  <c r="BB27" i="1"/>
  <c r="BC27" i="1" s="1"/>
  <c r="BB31" i="1"/>
  <c r="BC31" i="1" s="1"/>
  <c r="BB33" i="1"/>
  <c r="BC33" i="1" s="1"/>
  <c r="BB34" i="1"/>
  <c r="BC34" i="1" s="1"/>
  <c r="BB12" i="1"/>
  <c r="BC12" i="1" s="1"/>
  <c r="BB14" i="1"/>
  <c r="BC14" i="1" s="1"/>
  <c r="BB20" i="1"/>
  <c r="BC20" i="1" s="1"/>
  <c r="BB22" i="1"/>
  <c r="BC22" i="1" s="1"/>
  <c r="BB24" i="1"/>
  <c r="BC24" i="1" s="1"/>
  <c r="BB26" i="1"/>
  <c r="BC26" i="1" s="1"/>
  <c r="BB30" i="1"/>
  <c r="BC30" i="1" s="1"/>
  <c r="BB32" i="1"/>
  <c r="BC32" i="1" s="1"/>
  <c r="BB35" i="1"/>
  <c r="BC35" i="1" s="1"/>
  <c r="AT37" i="1" l="1"/>
  <c r="AV20" i="1"/>
  <c r="AU37" i="1"/>
  <c r="AV37" i="1" s="1"/>
  <c r="BN11" i="1"/>
  <c r="BM37" i="1"/>
  <c r="W17" i="1"/>
  <c r="X17" i="1" s="1"/>
  <c r="W20" i="1"/>
  <c r="X20" i="1" s="1"/>
  <c r="W21" i="1"/>
  <c r="X21" i="1" s="1"/>
  <c r="Y21" i="1" s="1"/>
  <c r="Z21" i="1" s="1"/>
  <c r="D21" i="1" s="1"/>
  <c r="BN13" i="1"/>
  <c r="BN22" i="1"/>
  <c r="BN23" i="1"/>
  <c r="BN26" i="1"/>
  <c r="BN27" i="1"/>
  <c r="BN31" i="1"/>
  <c r="BN32" i="1"/>
  <c r="BN35" i="1"/>
  <c r="BN12" i="1"/>
  <c r="BN14" i="1"/>
  <c r="BN17" i="1"/>
  <c r="BN20" i="1"/>
  <c r="BN21" i="1"/>
  <c r="BN24" i="1"/>
  <c r="BN25" i="1"/>
  <c r="BN30" i="1"/>
  <c r="BN33" i="1"/>
  <c r="BN34" i="1"/>
  <c r="W33" i="1"/>
  <c r="W32" i="1"/>
  <c r="W13" i="1"/>
  <c r="X13" i="1" s="1"/>
  <c r="Y13" i="1" s="1"/>
  <c r="Z13" i="1" s="1"/>
  <c r="D13" i="1" s="1"/>
  <c r="W26" i="1"/>
  <c r="X26" i="1" s="1"/>
  <c r="Y26" i="1" s="1"/>
  <c r="Z26" i="1" s="1"/>
  <c r="D26" i="1" s="1"/>
  <c r="W11" i="1"/>
  <c r="W24" i="1"/>
  <c r="X24" i="1" s="1"/>
  <c r="Y24" i="1" s="1"/>
  <c r="Z24" i="1" s="1"/>
  <c r="D24" i="1" s="1"/>
  <c r="W22" i="1"/>
  <c r="W35" i="1"/>
  <c r="W31" i="1"/>
  <c r="W14" i="1"/>
  <c r="X14" i="1" s="1"/>
  <c r="Y14" i="1" s="1"/>
  <c r="Z14" i="1" s="1"/>
  <c r="D14" i="1" s="1"/>
  <c r="W12" i="1"/>
  <c r="X12" i="1" s="1"/>
  <c r="Y12" i="1" s="1"/>
  <c r="Z12" i="1" s="1"/>
  <c r="D12" i="1" s="1"/>
  <c r="W34" i="1"/>
  <c r="W30" i="1"/>
  <c r="W27" i="1"/>
  <c r="X27" i="1" s="1"/>
  <c r="Y27" i="1" s="1"/>
  <c r="Z27" i="1" s="1"/>
  <c r="D27" i="1" s="1"/>
  <c r="W25" i="1"/>
  <c r="X25" i="1" s="1"/>
  <c r="Y25" i="1" s="1"/>
  <c r="Z25" i="1" s="1"/>
  <c r="D25" i="1" s="1"/>
  <c r="W23" i="1"/>
  <c r="BO20" i="1" l="1"/>
  <c r="AB20" i="1" s="1"/>
  <c r="AD20" i="1" s="1"/>
  <c r="BO26" i="1"/>
  <c r="AB26" i="1" s="1"/>
  <c r="AD26" i="1" s="1"/>
  <c r="BO17" i="1"/>
  <c r="AB17" i="1" s="1"/>
  <c r="AD17" i="1" s="1"/>
  <c r="BO34" i="1"/>
  <c r="AB34" i="1" s="1"/>
  <c r="AD34" i="1" s="1"/>
  <c r="BO30" i="1"/>
  <c r="AB30" i="1" s="1"/>
  <c r="AD30" i="1" s="1"/>
  <c r="BO35" i="1"/>
  <c r="AB35" i="1" s="1"/>
  <c r="AD35" i="1" s="1"/>
  <c r="BO11" i="1"/>
  <c r="AB11" i="1" s="1"/>
  <c r="BO25" i="1"/>
  <c r="AB25" i="1" s="1"/>
  <c r="AD25" i="1" s="1"/>
  <c r="BO32" i="1"/>
  <c r="AB32" i="1" s="1"/>
  <c r="AD32" i="1" s="1"/>
  <c r="BO23" i="1"/>
  <c r="AB23" i="1" s="1"/>
  <c r="AD23" i="1" s="1"/>
  <c r="BO24" i="1"/>
  <c r="AB24" i="1" s="1"/>
  <c r="AD24" i="1" s="1"/>
  <c r="BO14" i="1"/>
  <c r="AB14" i="1" s="1"/>
  <c r="AD14" i="1" s="1"/>
  <c r="BO31" i="1"/>
  <c r="AB31" i="1" s="1"/>
  <c r="AD31" i="1" s="1"/>
  <c r="BO22" i="1"/>
  <c r="AB22" i="1" s="1"/>
  <c r="AD22" i="1" s="1"/>
  <c r="BO33" i="1"/>
  <c r="AB33" i="1" s="1"/>
  <c r="AD33" i="1" s="1"/>
  <c r="BO21" i="1"/>
  <c r="AB21" i="1" s="1"/>
  <c r="AD21" i="1" s="1"/>
  <c r="BO12" i="1"/>
  <c r="AB12" i="1" s="1"/>
  <c r="AD12" i="1" s="1"/>
  <c r="BO27" i="1"/>
  <c r="AB27" i="1" s="1"/>
  <c r="AD27" i="1" s="1"/>
  <c r="BO13" i="1"/>
  <c r="AB13" i="1" s="1"/>
  <c r="AD13" i="1" s="1"/>
  <c r="Y20" i="1"/>
  <c r="Z20" i="1" s="1"/>
  <c r="D20" i="1" s="1"/>
  <c r="Y17" i="1"/>
  <c r="Z17" i="1" s="1"/>
  <c r="D17" i="1" s="1"/>
  <c r="X32" i="1"/>
  <c r="Y32" i="1" s="1"/>
  <c r="Z32" i="1" s="1"/>
  <c r="D32" i="1" s="1"/>
  <c r="X30" i="1"/>
  <c r="Y30" i="1" s="1"/>
  <c r="Z30" i="1" s="1"/>
  <c r="D30" i="1" s="1"/>
  <c r="X31" i="1"/>
  <c r="Y31" i="1" s="1"/>
  <c r="Z31" i="1" s="1"/>
  <c r="D31" i="1" s="1"/>
  <c r="X23" i="1"/>
  <c r="Y23" i="1" s="1"/>
  <c r="Z23" i="1" s="1"/>
  <c r="D23" i="1" s="1"/>
  <c r="X34" i="1"/>
  <c r="Y34" i="1" s="1"/>
  <c r="Z34" i="1" s="1"/>
  <c r="D34" i="1" s="1"/>
  <c r="X35" i="1"/>
  <c r="Y35" i="1" s="1"/>
  <c r="Z35" i="1" s="1"/>
  <c r="D35" i="1" s="1"/>
  <c r="X33" i="1"/>
  <c r="Y33" i="1" s="1"/>
  <c r="Z33" i="1" s="1"/>
  <c r="D33" i="1" s="1"/>
  <c r="X11" i="1"/>
  <c r="W41" i="1"/>
  <c r="W42" i="1" s="1"/>
  <c r="X22" i="1"/>
  <c r="Y22" i="1" s="1"/>
  <c r="Z22" i="1" s="1"/>
  <c r="D22" i="1" s="1"/>
  <c r="AD11" i="1" l="1"/>
  <c r="AD37" i="1" s="1"/>
  <c r="AE32" i="1" s="1"/>
  <c r="AB37" i="1"/>
  <c r="AC11" i="1" s="1"/>
  <c r="Y11" i="1"/>
  <c r="Z11" i="1" s="1"/>
  <c r="X38" i="1"/>
  <c r="Z38" i="1" s="1"/>
  <c r="AE11" i="1" l="1"/>
  <c r="AE37" i="1"/>
  <c r="AE14" i="1"/>
  <c r="AC25" i="1"/>
  <c r="AE33" i="1"/>
  <c r="AE17" i="1"/>
  <c r="AE34" i="1"/>
  <c r="AE26" i="1"/>
  <c r="AE30" i="1"/>
  <c r="AE24" i="1"/>
  <c r="AE20" i="1"/>
  <c r="AE13" i="1"/>
  <c r="AE21" i="1"/>
  <c r="AE31" i="1"/>
  <c r="AE23" i="1"/>
  <c r="AC35" i="1"/>
  <c r="AC30" i="1"/>
  <c r="AC21" i="1"/>
  <c r="AC12" i="1"/>
  <c r="AC31" i="1"/>
  <c r="AC20" i="1"/>
  <c r="AC32" i="1"/>
  <c r="AC13" i="1"/>
  <c r="AC27" i="1"/>
  <c r="AC14" i="1"/>
  <c r="AC34" i="1"/>
  <c r="AC26" i="1"/>
  <c r="AC22" i="1"/>
  <c r="AE25" i="1"/>
  <c r="AE12" i="1"/>
  <c r="AE35" i="1"/>
  <c r="AE22" i="1"/>
  <c r="AE27" i="1"/>
  <c r="AC17" i="1"/>
  <c r="AC33" i="1"/>
  <c r="AC23" i="1"/>
  <c r="AC24" i="1"/>
  <c r="D11" i="1"/>
  <c r="D40" i="1" s="1"/>
  <c r="Z40" i="1"/>
  <c r="Y38" i="1"/>
  <c r="D38" i="1"/>
  <c r="Z39" i="1" l="1"/>
  <c r="D39" i="1" s="1"/>
  <c r="D41" i="1" s="1"/>
  <c r="D42" i="1" s="1"/>
  <c r="Z41" i="1" l="1"/>
  <c r="Z42" i="1" s="1"/>
  <c r="H37" i="1" l="1"/>
  <c r="AF37" i="1"/>
  <c r="AI37" i="1" s="1"/>
  <c r="AF40" i="1" l="1"/>
  <c r="AF24" i="1" s="1"/>
  <c r="AF25" i="1" l="1"/>
  <c r="AF11" i="1"/>
  <c r="AG11" i="1" s="1"/>
  <c r="AH11" i="1" s="1"/>
  <c r="AI11" i="1" s="1"/>
  <c r="AF12" i="1"/>
  <c r="AG12" i="1" s="1"/>
  <c r="AH12" i="1" s="1"/>
  <c r="AI12" i="1" s="1"/>
  <c r="E12" i="1" s="1"/>
  <c r="AF13" i="1"/>
  <c r="AG13" i="1" s="1"/>
  <c r="AH13" i="1" s="1"/>
  <c r="AI13" i="1" s="1"/>
  <c r="E13" i="1" s="1"/>
  <c r="AF33" i="1"/>
  <c r="AG33" i="1" s="1"/>
  <c r="AH33" i="1" s="1"/>
  <c r="AI33" i="1" s="1"/>
  <c r="E33" i="1" s="1"/>
  <c r="AF31" i="1"/>
  <c r="AG31" i="1" s="1"/>
  <c r="AH31" i="1" s="1"/>
  <c r="AI31" i="1" s="1"/>
  <c r="E31" i="1" s="1"/>
  <c r="AF20" i="1"/>
  <c r="AG20" i="1" s="1"/>
  <c r="AH20" i="1" s="1"/>
  <c r="AI20" i="1" s="1"/>
  <c r="E20" i="1" s="1"/>
  <c r="AF22" i="1"/>
  <c r="AG22" i="1" s="1"/>
  <c r="AH22" i="1" s="1"/>
  <c r="AI22" i="1" s="1"/>
  <c r="E22" i="1" s="1"/>
  <c r="AF26" i="1"/>
  <c r="AG26" i="1" s="1"/>
  <c r="AH26" i="1" s="1"/>
  <c r="AI26" i="1" s="1"/>
  <c r="E26" i="1" s="1"/>
  <c r="AF21" i="1"/>
  <c r="AG21" i="1" s="1"/>
  <c r="AH21" i="1" s="1"/>
  <c r="AI21" i="1" s="1"/>
  <c r="E21" i="1" s="1"/>
  <c r="AF35" i="1"/>
  <c r="AG35" i="1" s="1"/>
  <c r="AH35" i="1" s="1"/>
  <c r="AI35" i="1" s="1"/>
  <c r="E35" i="1" s="1"/>
  <c r="AF23" i="1"/>
  <c r="AG23" i="1" s="1"/>
  <c r="AH23" i="1" s="1"/>
  <c r="AI23" i="1" s="1"/>
  <c r="E23" i="1" s="1"/>
  <c r="AF32" i="1"/>
  <c r="AG32" i="1" s="1"/>
  <c r="AH32" i="1" s="1"/>
  <c r="AI32" i="1" s="1"/>
  <c r="E32" i="1" s="1"/>
  <c r="AF27" i="1"/>
  <c r="AG27" i="1" s="1"/>
  <c r="AH27" i="1" s="1"/>
  <c r="AI27" i="1" s="1"/>
  <c r="E27" i="1" s="1"/>
  <c r="AF14" i="1"/>
  <c r="AG14" i="1" s="1"/>
  <c r="AH14" i="1" s="1"/>
  <c r="AI14" i="1" s="1"/>
  <c r="E14" i="1" s="1"/>
  <c r="AF17" i="1"/>
  <c r="AG17" i="1" s="1"/>
  <c r="AH17" i="1" s="1"/>
  <c r="AI17" i="1" s="1"/>
  <c r="E17" i="1" s="1"/>
  <c r="AF34" i="1"/>
  <c r="AG34" i="1" s="1"/>
  <c r="AH34" i="1" s="1"/>
  <c r="AI34" i="1" s="1"/>
  <c r="E34" i="1" s="1"/>
  <c r="AF30" i="1"/>
  <c r="AG30" i="1" s="1"/>
  <c r="AH30" i="1" s="1"/>
  <c r="AI30" i="1" s="1"/>
  <c r="E30" i="1" s="1"/>
  <c r="AG24" i="1"/>
  <c r="AH24" i="1" s="1"/>
  <c r="AI24" i="1" s="1"/>
  <c r="E24" i="1" s="1"/>
  <c r="AG25" i="1"/>
  <c r="AH25" i="1" s="1"/>
  <c r="AI25" i="1" s="1"/>
  <c r="E25" i="1" s="1"/>
  <c r="H23" i="1" l="1"/>
  <c r="G23" i="1"/>
  <c r="H35" i="1"/>
  <c r="G35" i="1"/>
  <c r="H20" i="1"/>
  <c r="G20" i="1"/>
  <c r="H12" i="1"/>
  <c r="G12" i="1"/>
  <c r="H17" i="1"/>
  <c r="G17" i="1"/>
  <c r="H13" i="1"/>
  <c r="G13" i="1"/>
  <c r="H14" i="1"/>
  <c r="G14" i="1"/>
  <c r="H30" i="1"/>
  <c r="G30" i="1"/>
  <c r="H27" i="1"/>
  <c r="G27" i="1"/>
  <c r="H21" i="1"/>
  <c r="G21" i="1"/>
  <c r="H31" i="1"/>
  <c r="G31" i="1"/>
  <c r="H25" i="1"/>
  <c r="G25" i="1"/>
  <c r="H22" i="1"/>
  <c r="G22" i="1"/>
  <c r="H24" i="1"/>
  <c r="G24" i="1"/>
  <c r="H34" i="1"/>
  <c r="G34" i="1"/>
  <c r="H32" i="1"/>
  <c r="G32" i="1"/>
  <c r="H26" i="1"/>
  <c r="G26" i="1"/>
  <c r="H33" i="1"/>
  <c r="G33" i="1"/>
  <c r="E11" i="1"/>
  <c r="G11" i="1" s="1"/>
  <c r="AI40" i="1"/>
  <c r="AG38" i="1"/>
  <c r="G40" i="1" l="1"/>
  <c r="G41" i="1" s="1"/>
  <c r="AH38" i="1"/>
  <c r="AI38" i="1"/>
  <c r="E40" i="1"/>
  <c r="H40" i="1" s="1"/>
  <c r="H11" i="1"/>
  <c r="E38" i="1" l="1"/>
  <c r="H38" i="1" s="1"/>
  <c r="AI39" i="1"/>
  <c r="AI41" i="1" l="1"/>
  <c r="AI42" i="1" s="1"/>
  <c r="AF41" i="1"/>
  <c r="AF42" i="1" s="1"/>
  <c r="E39" i="1"/>
  <c r="H39" i="1" l="1"/>
  <c r="E41" i="1"/>
  <c r="E42" i="1" s="1"/>
  <c r="H41" i="1" l="1"/>
  <c r="H42" i="1" s="1"/>
</calcChain>
</file>

<file path=xl/comments1.xml><?xml version="1.0" encoding="utf-8"?>
<comments xmlns="http://schemas.openxmlformats.org/spreadsheetml/2006/main">
  <authors>
    <author>Ondřej Peřina</author>
    <author>Ondrej Perina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zadává se rozdělovaná částka základu dotace:
</t>
        </r>
        <r>
          <rPr>
            <b/>
            <sz val="9"/>
            <color indexed="81"/>
            <rFont val="Tahoma"/>
            <family val="2"/>
            <charset val="238"/>
          </rPr>
          <t>aktualizováno 2017
(připsáno na účet: 16.5.2017)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Zadává se rozdělovaná částka nadstavby dotace.
(</t>
        </r>
        <r>
          <rPr>
            <b/>
            <sz val="9"/>
            <color indexed="81"/>
            <rFont val="Tahoma"/>
            <family val="2"/>
            <charset val="238"/>
          </rPr>
          <t xml:space="preserve">na účet dorazila: 
31.7.2017 a 12.10.2017) 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Částka, kterou si kraj nechává na svou činnost z dotace MŠMT:
</t>
        </r>
        <r>
          <rPr>
            <b/>
            <sz val="9"/>
            <color indexed="81"/>
            <rFont val="Tahoma"/>
            <family val="2"/>
            <charset val="238"/>
          </rPr>
          <t>aktualizováno dle krajské dotační vyhlášky 2017/1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nadstavba není zatím pro rok 2010 dopočtena! Bude upřesněno, až bude známa částka nadstavby dotace pro Liberecký kraj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ukazuje, o kolik byla v listopadu 2017 mimořádně navýšena celková nastavba dotace na rok 2017 proti původní částce ze srpna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Součet bodů za všechna kritéria nadstavby násobená jejich koeficienty významu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Odchylka počtu bodů daného střediska od průměrného počtu bodů všech středisek.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součin všech členů střediska a celkového počtu získaných bodů
(nadstavba se rozděluje na všechny členy stejně)</t>
        </r>
      </text>
    </comment>
    <comment ref="AK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nezapočítávají se hostující členové, neboť z nich
  kraj nic nemá zkreslovali by přehled
- čestní členové se započítávají</t>
        </r>
      </text>
    </comment>
    <comment ref="BE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každá OJ má max. 1 vedoucího střediska
- započítá se, pokud má v pořádku kvalifikaci</t>
        </r>
      </text>
    </comment>
    <comment ref="BF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posuzuje se vedoucí střediska 
(nejlepší je hodnota 0 =&gt; žádný bez kvalifikace)
- akceptovaná kvalifikace: SM (případně VZ či MZ)</t>
        </r>
      </text>
    </comment>
    <comment ref="BG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uveden celkový počet zástupců vedoucího střediska 
(typicky 1, ale středisko může mít výjimečně i 2 zástupce)</t>
        </r>
      </text>
    </comment>
    <comment ref="BH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posuzuje se každý zástupce; OJ může mít 1 či 2 zástupce 
(nejlepší je hodnota 0 =&gt; žádný zástupce bez kvalifikace)
- akceptovatelná kvalifikace: SM (případně VZ či MZ)</t>
        </r>
      </text>
    </comment>
    <comment ref="BI8" authorId="1" shapeId="0">
      <text>
        <r>
          <rPr>
            <b/>
            <sz val="9"/>
            <color indexed="81"/>
            <rFont val="Tahoma"/>
            <charset val="1"/>
          </rPr>
          <t>Ondrej Perina:</t>
        </r>
        <r>
          <rPr>
            <sz val="9"/>
            <color indexed="81"/>
            <rFont val="Tahoma"/>
            <charset val="1"/>
          </rPr>
          <t xml:space="preserve">
- počítají se vedoucí všech typů oddílů bez rozdílu</t>
        </r>
      </text>
    </comment>
    <comment ref="BJ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počítá se každý vedoucí oddílu, který nemá potřebnou kvalifikaci
</t>
        </r>
      </text>
    </comment>
    <comment ref="BK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členů, neboť jiné typy nemusí mít zástupce vůbec</t>
        </r>
      </text>
    </comment>
    <comment ref="BL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 (pokud není pozice obsazena, považuje se to za nedostatečnou kvalifikaci), neboť jiné typy nemusí mít zástupce vůbec</t>
        </r>
      </text>
    </comment>
    <comment ref="BM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Ondřej Peřina:
</t>
        </r>
        <r>
          <rPr>
            <sz val="9"/>
            <color indexed="81"/>
            <rFont val="Tahoma"/>
            <family val="2"/>
            <charset val="238"/>
          </rPr>
          <t>potřebná kvalifikace se vypočte z celkového počtu funkcí, které musí být obsazeny osobou s požadovanou kvalifikací a určuje se podíl vůči reálnému počtu kvalifikovaných osob</t>
        </r>
      </text>
    </comment>
    <comment ref="BQ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středisko může mít 1 nebo výjimečně i 2 zástupce vedoucího střediska</t>
        </r>
      </text>
    </comment>
    <comment ref="BX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počet členů, kteří byli registrováni v předchozím roce, ale letos již nejsou</t>
        </r>
      </text>
    </comment>
    <comment ref="BY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průměrná délka členství osob, které se již letos neregistrovaly</t>
        </r>
      </text>
    </comment>
  </commentList>
</comments>
</file>

<file path=xl/sharedStrings.xml><?xml version="1.0" encoding="utf-8"?>
<sst xmlns="http://schemas.openxmlformats.org/spreadsheetml/2006/main" count="535" uniqueCount="143">
  <si>
    <t>Zemědělská 302/18a, 46008 Liberec 8</t>
  </si>
  <si>
    <t>částka pro výpočet na různé věkové skupiny:</t>
  </si>
  <si>
    <t>IČ: 709 00 973 | ev. č.: 510</t>
  </si>
  <si>
    <t>na díl</t>
  </si>
  <si>
    <t>(3 : 2 : 1)</t>
  </si>
  <si>
    <t>Ev. č.</t>
  </si>
  <si>
    <t>Název OJ</t>
  </si>
  <si>
    <t>Výsledná dotace pro jednotku</t>
  </si>
  <si>
    <t>Datum odevzdání registrace</t>
  </si>
  <si>
    <t>opoždění</t>
  </si>
  <si>
    <t>srážka</t>
  </si>
  <si>
    <t>Odevzdání hlášenky táborů</t>
  </si>
  <si>
    <t>Základ dotace</t>
  </si>
  <si>
    <t>Nadstavba dotace</t>
  </si>
  <si>
    <t>počet členů</t>
  </si>
  <si>
    <r>
      <t>věková struktura členů</t>
    </r>
    <r>
      <rPr>
        <sz val="11"/>
        <color theme="0"/>
        <rFont val="Calibri"/>
        <family val="2"/>
        <charset val="238"/>
      </rPr>
      <t xml:space="preserve"> (pro dotace)</t>
    </r>
  </si>
  <si>
    <t>Meziroční celkový nárůst členů</t>
  </si>
  <si>
    <t>1) Meziroční nárůst členů mladších 18 let</t>
  </si>
  <si>
    <t>Typy oddílů a jejich počty</t>
  </si>
  <si>
    <t>3) Délka členství odch. mladších členů</t>
  </si>
  <si>
    <t>OJ</t>
  </si>
  <si>
    <t>(střediska, případně okresy)</t>
  </si>
  <si>
    <t>základ</t>
  </si>
  <si>
    <t>celkem</t>
  </si>
  <si>
    <t>registrace</t>
  </si>
  <si>
    <t>částka</t>
  </si>
  <si>
    <t>připsáno na účet</t>
  </si>
  <si>
    <t>hosp. výkaz</t>
  </si>
  <si>
    <t>dnů</t>
  </si>
  <si>
    <t>započ. týdnů</t>
  </si>
  <si>
    <t>dotace</t>
  </si>
  <si>
    <t>typ</t>
  </si>
  <si>
    <t>datum</t>
  </si>
  <si>
    <t>vypočtený nárok</t>
  </si>
  <si>
    <t>před zaokr.</t>
  </si>
  <si>
    <t>body</t>
  </si>
  <si>
    <t>rel. úspěšnost</t>
  </si>
  <si>
    <t>body x počet členů</t>
  </si>
  <si>
    <t>podíl z nadstavby</t>
  </si>
  <si>
    <t>řádných</t>
  </si>
  <si>
    <t>hostujících</t>
  </si>
  <si>
    <t>čestných</t>
  </si>
  <si>
    <t>nad 26 let</t>
  </si>
  <si>
    <t>do 26 let</t>
  </si>
  <si>
    <t>dětí</t>
  </si>
  <si>
    <t>abs. změna</t>
  </si>
  <si>
    <t>rel. změna</t>
  </si>
  <si>
    <t>podíl</t>
  </si>
  <si>
    <t>dětských</t>
  </si>
  <si>
    <t>roveři</t>
  </si>
  <si>
    <t>klub OS</t>
  </si>
  <si>
    <t>děťodny</t>
  </si>
  <si>
    <t>---</t>
  </si>
  <si>
    <t>511.01</t>
  </si>
  <si>
    <t>předpoklad</t>
  </si>
  <si>
    <t>511.02</t>
  </si>
  <si>
    <t>511.04</t>
  </si>
  <si>
    <t>511.05</t>
  </si>
  <si>
    <t>513.01</t>
  </si>
  <si>
    <t>513.04</t>
  </si>
  <si>
    <t>513.05</t>
  </si>
  <si>
    <t>513.07</t>
  </si>
  <si>
    <t>513.09</t>
  </si>
  <si>
    <t>513.10</t>
  </si>
  <si>
    <t>513.12</t>
  </si>
  <si>
    <t>513.15</t>
  </si>
  <si>
    <t>514.01</t>
  </si>
  <si>
    <t>514.02</t>
  </si>
  <si>
    <t>514.03</t>
  </si>
  <si>
    <t>514.06</t>
  </si>
  <si>
    <t>514.07</t>
  </si>
  <si>
    <t>514.11</t>
  </si>
  <si>
    <t>Liberecký kraj</t>
  </si>
  <si>
    <t>ponecháno kraji (vliv zaokrouhlení)</t>
  </si>
  <si>
    <t>dotace rozdělovaná jednotkám v kraji</t>
  </si>
  <si>
    <t>kontrola</t>
  </si>
  <si>
    <t>klub RS</t>
  </si>
  <si>
    <t>512.01</t>
  </si>
  <si>
    <t>středisko Řetěz Česká Lípa</t>
  </si>
  <si>
    <t>středisko Klíč Nový Bor</t>
  </si>
  <si>
    <t>středisko Doksy</t>
  </si>
  <si>
    <t>přístav Ralsko Mimoň</t>
  </si>
  <si>
    <t>středisko Jablonec nad Nisou</t>
  </si>
  <si>
    <t>středisko Ještěd Liberec</t>
  </si>
  <si>
    <t>středisko Stopa Liberec</t>
  </si>
  <si>
    <t>středisko Mustang Liberec</t>
  </si>
  <si>
    <t>přístav Flotila Liberec</t>
  </si>
  <si>
    <t>středisko Šurean Liberec</t>
  </si>
  <si>
    <t>přístav Maják Liberec</t>
  </si>
  <si>
    <t>středisko Hrádek nad Nisou</t>
  </si>
  <si>
    <t>středisko Dub Český Dub</t>
  </si>
  <si>
    <t>středisko Varta Semily</t>
  </si>
  <si>
    <t>středisko Štika Turnov</t>
  </si>
  <si>
    <t>středisko Jilm Jilemnice</t>
  </si>
  <si>
    <t>středisko Údolí Železný Brod</t>
  </si>
  <si>
    <t>středisko Lípa Tatobity</t>
  </si>
  <si>
    <t>oblast Jablonecko</t>
  </si>
  <si>
    <t>oblast Českolipsko</t>
  </si>
  <si>
    <t>oblast Liberecko</t>
  </si>
  <si>
    <t>oblast Semilsko</t>
  </si>
  <si>
    <t>ponecháno kraji přímo na vlastní aktivity</t>
  </si>
  <si>
    <t>základ:</t>
  </si>
  <si>
    <t>nadstavba:</t>
  </si>
  <si>
    <t>ponecháno KRJ:</t>
  </si>
  <si>
    <t>funkčnost tabulky zpracoval:</t>
  </si>
  <si>
    <t>nastavení dělení základu dle dotační vyhlášky</t>
  </si>
  <si>
    <t>celková dotace pro kraj z ústředí:</t>
  </si>
  <si>
    <t>4) Počet děťodnů na táborech předchozího kalendářního roku</t>
  </si>
  <si>
    <t>Tereza Peřinová, 14.7.2015</t>
  </si>
  <si>
    <t>ok</t>
  </si>
  <si>
    <t>středisko Jestřáb Jilemnice</t>
  </si>
  <si>
    <t>Junák - český skaut, Liberecký kraj, z. s.</t>
  </si>
  <si>
    <t>Rozdělení dotací dle krajské vyhlášky 1/2017</t>
  </si>
  <si>
    <t>aktualizováno 2017</t>
  </si>
  <si>
    <t>aktulizováno dle skutenčosti táborů 2016</t>
  </si>
  <si>
    <t>Aktualizováno 2017</t>
  </si>
  <si>
    <t>28.2.2017; vratka 6.3.</t>
  </si>
  <si>
    <t>pro rok 2017 upravil:</t>
  </si>
  <si>
    <t>výpočet nadstavby pro rok 2017 upravil:</t>
  </si>
  <si>
    <t>Tereza Peřinová, 8.6.2017</t>
  </si>
  <si>
    <t>středisko 
(vedoucí s)</t>
  </si>
  <si>
    <t>středisko 
(vedoucí bez)</t>
  </si>
  <si>
    <t>středisko 
(zástupce bez)</t>
  </si>
  <si>
    <t>oddíl
(vedoucí s)</t>
  </si>
  <si>
    <t>středisko (zástupců s)</t>
  </si>
  <si>
    <t>Středisko</t>
  </si>
  <si>
    <t>zástupců ved. stř.</t>
  </si>
  <si>
    <t>oddíl 
(vedoucí bez)</t>
  </si>
  <si>
    <t>oddíl
(zástupce s)</t>
  </si>
  <si>
    <t>oddíl
(zástupce bez)</t>
  </si>
  <si>
    <t>podíl osob 
s kvalifikací</t>
  </si>
  <si>
    <t>váha:</t>
  </si>
  <si>
    <t>celkem táborů</t>
  </si>
  <si>
    <t>počet odchozích</t>
  </si>
  <si>
    <t>délka členství</t>
  </si>
  <si>
    <t>počet 
mladších členů</t>
  </si>
  <si>
    <t>2) Minimální kvalifikace vedoucích a zástupců (na oddíl a na středisko)</t>
  </si>
  <si>
    <t>Tereza Peřinová, 18.8. a 5.11.2017</t>
  </si>
  <si>
    <t>Ondřej Peřina, 22.5. a 18.8.2017</t>
  </si>
  <si>
    <t>navýšená nadstavba</t>
  </si>
  <si>
    <t xml:space="preserve">(doplatek) mimořádná nadstavba </t>
  </si>
  <si>
    <t>původní výše nadstavby</t>
  </si>
  <si>
    <t>mimořádné navýšení: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</si>
</sst>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_ ;[Red]\-0\ "/>
    <numFmt numFmtId="165" formatCode="\+0.00%;[Red]\-0.00%"/>
    <numFmt numFmtId="166" formatCode="0.0000%"/>
    <numFmt numFmtId="167" formatCode="0.0000"/>
    <numFmt numFmtId="168" formatCode="#,##0.0000_ ;\-#,##0.0000\ "/>
    <numFmt numFmtId="169" formatCode="#,##0_ ;\-#,##0\ "/>
    <numFmt numFmtId="170" formatCode="#,##0.00_ ;\-#,##0.00\ 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2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i/>
      <sz val="9"/>
      <name val="Calibri"/>
      <family val="2"/>
      <charset val="238"/>
    </font>
    <font>
      <i/>
      <sz val="11"/>
      <name val="Calibri"/>
      <family val="2"/>
      <charset val="238"/>
    </font>
    <font>
      <b/>
      <sz val="26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9"/>
      <name val="Calibri"/>
      <family val="2"/>
      <charset val="238"/>
    </font>
    <font>
      <sz val="9"/>
      <color theme="0" tint="-0.499984740745262"/>
      <name val="Calibri"/>
      <family val="2"/>
      <charset val="238"/>
    </font>
    <font>
      <sz val="9"/>
      <color theme="0" tint="-0.34998626667073579"/>
      <name val="Calibri"/>
      <family val="2"/>
      <charset val="238"/>
    </font>
    <font>
      <sz val="9"/>
      <color theme="0" tint="-0.34998626667073579"/>
      <name val="Calibri"/>
      <family val="2"/>
      <charset val="238"/>
      <scheme val="minor"/>
    </font>
    <font>
      <b/>
      <sz val="9"/>
      <color theme="0" tint="-0.34998626667073579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22" fillId="0" borderId="0"/>
    <xf numFmtId="0" fontId="1" fillId="0" borderId="0"/>
  </cellStyleXfs>
  <cellXfs count="7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44" fontId="4" fillId="0" borderId="0" xfId="1" applyFont="1" applyAlignment="1"/>
    <xf numFmtId="0" fontId="6" fillId="0" borderId="0" xfId="0" applyFont="1" applyAlignment="1"/>
    <xf numFmtId="44" fontId="3" fillId="0" borderId="0" xfId="1" applyFont="1"/>
    <xf numFmtId="0" fontId="6" fillId="0" borderId="0" xfId="0" applyFont="1" applyFill="1" applyBorder="1" applyAlignment="1">
      <alignment horizontal="left"/>
    </xf>
    <xf numFmtId="0" fontId="8" fillId="2" borderId="38" xfId="0" applyFont="1" applyFill="1" applyBorder="1"/>
    <xf numFmtId="0" fontId="9" fillId="2" borderId="2" xfId="0" applyFont="1" applyFill="1" applyBorder="1"/>
    <xf numFmtId="42" fontId="9" fillId="2" borderId="2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2" fontId="9" fillId="2" borderId="34" xfId="1" applyNumberFormat="1" applyFont="1" applyFill="1" applyBorder="1" applyAlignment="1">
      <alignment horizontal="center"/>
    </xf>
    <xf numFmtId="42" fontId="9" fillId="2" borderId="8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42" fontId="9" fillId="2" borderId="3" xfId="1" applyNumberFormat="1" applyFont="1" applyFill="1" applyBorder="1" applyAlignment="1">
      <alignment horizontal="center"/>
    </xf>
    <xf numFmtId="0" fontId="6" fillId="3" borderId="11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center"/>
    </xf>
    <xf numFmtId="42" fontId="4" fillId="0" borderId="0" xfId="1" applyNumberFormat="1" applyFont="1" applyBorder="1" applyAlignment="1">
      <alignment horizontal="center"/>
    </xf>
    <xf numFmtId="14" fontId="4" fillId="0" borderId="17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11" fillId="4" borderId="23" xfId="1" quotePrefix="1" applyNumberFormat="1" applyFont="1" applyFill="1" applyBorder="1" applyAlignment="1">
      <alignment horizontal="center"/>
    </xf>
    <xf numFmtId="42" fontId="11" fillId="4" borderId="26" xfId="1" quotePrefix="1" applyNumberFormat="1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47" xfId="0" applyFont="1" applyFill="1" applyBorder="1"/>
    <xf numFmtId="42" fontId="11" fillId="6" borderId="23" xfId="1" quotePrefix="1" applyNumberFormat="1" applyFont="1" applyFill="1" applyBorder="1" applyAlignment="1">
      <alignment horizontal="center"/>
    </xf>
    <xf numFmtId="42" fontId="11" fillId="6" borderId="26" xfId="1" quotePrefix="1" applyNumberFormat="1" applyFont="1" applyFill="1" applyBorder="1" applyAlignment="1">
      <alignment horizontal="center"/>
    </xf>
    <xf numFmtId="14" fontId="4" fillId="0" borderId="15" xfId="1" applyNumberFormat="1" applyFont="1" applyFill="1" applyBorder="1" applyAlignment="1">
      <alignment horizontal="center"/>
    </xf>
    <xf numFmtId="42" fontId="9" fillId="2" borderId="59" xfId="1" applyNumberFormat="1" applyFont="1" applyFill="1" applyBorder="1" applyAlignment="1">
      <alignment horizontal="center"/>
    </xf>
    <xf numFmtId="14" fontId="4" fillId="0" borderId="9" xfId="1" applyNumberFormat="1" applyFont="1" applyFill="1" applyBorder="1" applyAlignment="1">
      <alignment horizontal="center"/>
    </xf>
    <xf numFmtId="44" fontId="11" fillId="4" borderId="26" xfId="1" quotePrefix="1" applyFont="1" applyFill="1" applyBorder="1" applyAlignment="1">
      <alignment horizontal="center"/>
    </xf>
    <xf numFmtId="44" fontId="4" fillId="0" borderId="17" xfId="1" applyFont="1" applyFill="1" applyBorder="1" applyAlignment="1">
      <alignment horizontal="center"/>
    </xf>
    <xf numFmtId="44" fontId="4" fillId="0" borderId="9" xfId="1" applyFont="1" applyFill="1" applyBorder="1" applyAlignment="1">
      <alignment horizontal="center"/>
    </xf>
    <xf numFmtId="44" fontId="4" fillId="0" borderId="49" xfId="1" applyFont="1" applyFill="1" applyBorder="1" applyAlignment="1">
      <alignment horizontal="center"/>
    </xf>
    <xf numFmtId="44" fontId="11" fillId="6" borderId="26" xfId="1" quotePrefix="1" applyFont="1" applyFill="1" applyBorder="1" applyAlignment="1">
      <alignment horizontal="center"/>
    </xf>
    <xf numFmtId="14" fontId="4" fillId="0" borderId="18" xfId="1" applyNumberFormat="1" applyFont="1" applyFill="1" applyBorder="1" applyAlignment="1">
      <alignment horizontal="center"/>
    </xf>
    <xf numFmtId="0" fontId="11" fillId="4" borderId="25" xfId="0" quotePrefix="1" applyNumberFormat="1" applyFont="1" applyFill="1" applyBorder="1" applyAlignment="1">
      <alignment horizontal="center"/>
    </xf>
    <xf numFmtId="0" fontId="11" fillId="4" borderId="24" xfId="0" quotePrefix="1" applyNumberFormat="1" applyFont="1" applyFill="1" applyBorder="1" applyAlignment="1">
      <alignment horizontal="center"/>
    </xf>
    <xf numFmtId="0" fontId="10" fillId="4" borderId="26" xfId="0" quotePrefix="1" applyNumberFormat="1" applyFont="1" applyFill="1" applyBorder="1" applyAlignment="1">
      <alignment horizontal="center"/>
    </xf>
    <xf numFmtId="0" fontId="11" fillId="4" borderId="27" xfId="1" quotePrefix="1" applyNumberFormat="1" applyFont="1" applyFill="1" applyBorder="1" applyAlignment="1">
      <alignment horizontal="center"/>
    </xf>
    <xf numFmtId="0" fontId="11" fillId="4" borderId="43" xfId="2" quotePrefix="1" applyNumberFormat="1" applyFont="1" applyFill="1" applyBorder="1" applyAlignment="1">
      <alignment horizontal="center"/>
    </xf>
    <xf numFmtId="0" fontId="11" fillId="4" borderId="53" xfId="0" quotePrefix="1" applyNumberFormat="1" applyFont="1" applyFill="1" applyBorder="1" applyAlignment="1">
      <alignment horizontal="center"/>
    </xf>
    <xf numFmtId="0" fontId="11" fillId="4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32" xfId="1" applyNumberFormat="1" applyFont="1" applyFill="1" applyBorder="1" applyAlignment="1">
      <alignment horizontal="center"/>
    </xf>
    <xf numFmtId="0" fontId="4" fillId="0" borderId="44" xfId="2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4" fillId="0" borderId="45" xfId="2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1" applyNumberFormat="1" applyFont="1" applyFill="1" applyBorder="1" applyAlignment="1">
      <alignment horizontal="center"/>
    </xf>
    <xf numFmtId="0" fontId="4" fillId="0" borderId="52" xfId="2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48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11" fillId="6" borderId="25" xfId="0" quotePrefix="1" applyNumberFormat="1" applyFont="1" applyFill="1" applyBorder="1" applyAlignment="1">
      <alignment horizontal="center"/>
    </xf>
    <xf numFmtId="0" fontId="11" fillId="6" borderId="24" xfId="0" quotePrefix="1" applyNumberFormat="1" applyFont="1" applyFill="1" applyBorder="1" applyAlignment="1">
      <alignment horizontal="center"/>
    </xf>
    <xf numFmtId="0" fontId="10" fillId="6" borderId="26" xfId="0" quotePrefix="1" applyNumberFormat="1" applyFont="1" applyFill="1" applyBorder="1" applyAlignment="1">
      <alignment horizontal="center"/>
    </xf>
    <xf numFmtId="0" fontId="11" fillId="6" borderId="27" xfId="1" quotePrefix="1" applyNumberFormat="1" applyFont="1" applyFill="1" applyBorder="1" applyAlignment="1">
      <alignment horizontal="center"/>
    </xf>
    <xf numFmtId="0" fontId="11" fillId="6" borderId="43" xfId="2" quotePrefix="1" applyNumberFormat="1" applyFont="1" applyFill="1" applyBorder="1" applyAlignment="1">
      <alignment horizontal="center"/>
    </xf>
    <xf numFmtId="0" fontId="11" fillId="6" borderId="53" xfId="0" quotePrefix="1" applyNumberFormat="1" applyFont="1" applyFill="1" applyBorder="1" applyAlignment="1">
      <alignment horizontal="center"/>
    </xf>
    <xf numFmtId="0" fontId="11" fillId="6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6" fillId="3" borderId="10" xfId="2" applyNumberFormat="1" applyFont="1" applyFill="1" applyBorder="1" applyAlignment="1">
      <alignment horizontal="center"/>
    </xf>
    <xf numFmtId="0" fontId="6" fillId="3" borderId="42" xfId="2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6" fillId="3" borderId="5" xfId="0" quotePrefix="1" applyNumberFormat="1" applyFont="1" applyFill="1" applyBorder="1" applyAlignment="1">
      <alignment horizontal="center"/>
    </xf>
    <xf numFmtId="14" fontId="4" fillId="0" borderId="47" xfId="1" applyNumberFormat="1" applyFont="1" applyFill="1" applyBorder="1" applyAlignment="1">
      <alignment horizontal="center"/>
    </xf>
    <xf numFmtId="42" fontId="9" fillId="2" borderId="60" xfId="1" applyNumberFormat="1" applyFont="1" applyFill="1" applyBorder="1" applyAlignment="1">
      <alignment horizontal="center"/>
    </xf>
    <xf numFmtId="0" fontId="11" fillId="4" borderId="62" xfId="1" quotePrefix="1" applyNumberFormat="1" applyFont="1" applyFill="1" applyBorder="1" applyAlignment="1">
      <alignment horizontal="center"/>
    </xf>
    <xf numFmtId="0" fontId="4" fillId="0" borderId="63" xfId="1" applyNumberFormat="1" applyFont="1" applyFill="1" applyBorder="1" applyAlignment="1">
      <alignment horizontal="center"/>
    </xf>
    <xf numFmtId="0" fontId="4" fillId="0" borderId="64" xfId="1" applyNumberFormat="1" applyFont="1" applyFill="1" applyBorder="1" applyAlignment="1">
      <alignment horizontal="center"/>
    </xf>
    <xf numFmtId="0" fontId="4" fillId="0" borderId="65" xfId="1" applyNumberFormat="1" applyFont="1" applyFill="1" applyBorder="1" applyAlignment="1">
      <alignment horizontal="center"/>
    </xf>
    <xf numFmtId="0" fontId="11" fillId="6" borderId="62" xfId="1" quotePrefix="1" applyNumberFormat="1" applyFont="1" applyFill="1" applyBorder="1" applyAlignment="1">
      <alignment horizontal="center"/>
    </xf>
    <xf numFmtId="0" fontId="6" fillId="3" borderId="61" xfId="1" applyNumberFormat="1" applyFont="1" applyFill="1" applyBorder="1" applyAlignment="1">
      <alignment horizontal="center"/>
    </xf>
    <xf numFmtId="0" fontId="4" fillId="0" borderId="28" xfId="1" applyNumberFormat="1" applyFont="1" applyFill="1" applyBorder="1" applyAlignment="1">
      <alignment horizontal="center"/>
    </xf>
    <xf numFmtId="0" fontId="11" fillId="4" borderId="53" xfId="1" quotePrefix="1" applyNumberFormat="1" applyFont="1" applyFill="1" applyBorder="1" applyAlignment="1">
      <alignment horizontal="center"/>
    </xf>
    <xf numFmtId="0" fontId="4" fillId="0" borderId="54" xfId="1" applyNumberFormat="1" applyFont="1" applyFill="1" applyBorder="1" applyAlignment="1">
      <alignment horizontal="center"/>
    </xf>
    <xf numFmtId="0" fontId="4" fillId="0" borderId="55" xfId="1" applyNumberFormat="1" applyFont="1" applyFill="1" applyBorder="1" applyAlignment="1">
      <alignment horizontal="center"/>
    </xf>
    <xf numFmtId="0" fontId="4" fillId="0" borderId="56" xfId="1" applyNumberFormat="1" applyFont="1" applyFill="1" applyBorder="1" applyAlignment="1">
      <alignment horizontal="center"/>
    </xf>
    <xf numFmtId="0" fontId="11" fillId="6" borderId="53" xfId="1" quotePrefix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11" fillId="4" borderId="43" xfId="1" quotePrefix="1" applyNumberFormat="1" applyFont="1" applyFill="1" applyBorder="1" applyAlignment="1">
      <alignment horizontal="center"/>
    </xf>
    <xf numFmtId="0" fontId="4" fillId="0" borderId="44" xfId="1" applyNumberFormat="1" applyFont="1" applyFill="1" applyBorder="1" applyAlignment="1">
      <alignment horizontal="center"/>
    </xf>
    <xf numFmtId="0" fontId="4" fillId="0" borderId="45" xfId="1" applyNumberFormat="1" applyFont="1" applyFill="1" applyBorder="1" applyAlignment="1">
      <alignment horizontal="center"/>
    </xf>
    <xf numFmtId="0" fontId="4" fillId="0" borderId="52" xfId="1" applyNumberFormat="1" applyFont="1" applyFill="1" applyBorder="1" applyAlignment="1">
      <alignment horizontal="center"/>
    </xf>
    <xf numFmtId="0" fontId="11" fillId="6" borderId="43" xfId="1" quotePrefix="1" applyNumberFormat="1" applyFont="1" applyFill="1" applyBorder="1" applyAlignment="1">
      <alignment horizontal="center"/>
    </xf>
    <xf numFmtId="0" fontId="6" fillId="3" borderId="42" xfId="1" applyNumberFormat="1" applyFont="1" applyFill="1" applyBorder="1" applyAlignment="1">
      <alignment horizontal="center"/>
    </xf>
    <xf numFmtId="0" fontId="11" fillId="4" borderId="67" xfId="1" quotePrefix="1" applyNumberFormat="1" applyFont="1" applyFill="1" applyBorder="1" applyAlignment="1">
      <alignment horizontal="center"/>
    </xf>
    <xf numFmtId="0" fontId="11" fillId="6" borderId="67" xfId="1" quotePrefix="1" applyNumberFormat="1" applyFont="1" applyFill="1" applyBorder="1" applyAlignment="1">
      <alignment horizontal="center"/>
    </xf>
    <xf numFmtId="0" fontId="6" fillId="3" borderId="66" xfId="1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0" fontId="6" fillId="10" borderId="13" xfId="1" applyNumberFormat="1" applyFont="1" applyFill="1" applyBorder="1" applyAlignment="1">
      <alignment horizontal="center"/>
    </xf>
    <xf numFmtId="44" fontId="3" fillId="0" borderId="0" xfId="1" applyFont="1" applyFill="1"/>
    <xf numFmtId="44" fontId="3" fillId="0" borderId="0" xfId="1" applyFont="1" applyFill="1" applyAlignment="1">
      <alignment horizontal="right"/>
    </xf>
    <xf numFmtId="14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6" borderId="23" xfId="0" quotePrefix="1" applyFont="1" applyFill="1" applyBorder="1" applyAlignment="1">
      <alignment horizontal="center"/>
    </xf>
    <xf numFmtId="0" fontId="10" fillId="4" borderId="23" xfId="0" quotePrefix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/>
    </xf>
    <xf numFmtId="0" fontId="10" fillId="4" borderId="23" xfId="0" quotePrefix="1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0" fillId="6" borderId="23" xfId="0" quotePrefix="1" applyNumberFormat="1" applyFont="1" applyFill="1" applyBorder="1" applyAlignment="1">
      <alignment horizontal="center"/>
    </xf>
    <xf numFmtId="0" fontId="6" fillId="6" borderId="16" xfId="0" applyNumberFormat="1" applyFont="1" applyFill="1" applyBorder="1" applyAlignment="1">
      <alignment horizontal="center"/>
    </xf>
    <xf numFmtId="42" fontId="8" fillId="0" borderId="0" xfId="1" applyNumberFormat="1" applyFont="1" applyFill="1" applyBorder="1" applyAlignment="1">
      <alignment horizontal="left"/>
    </xf>
    <xf numFmtId="42" fontId="9" fillId="0" borderId="0" xfId="1" applyNumberFormat="1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2" fontId="18" fillId="0" borderId="0" xfId="0" applyNumberFormat="1" applyFont="1"/>
    <xf numFmtId="44" fontId="18" fillId="0" borderId="0" xfId="1" applyFont="1"/>
    <xf numFmtId="44" fontId="3" fillId="0" borderId="0" xfId="0" applyNumberFormat="1" applyFont="1"/>
    <xf numFmtId="44" fontId="4" fillId="0" borderId="72" xfId="0" applyNumberFormat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0" fillId="0" borderId="0" xfId="0" applyNumberFormat="1"/>
    <xf numFmtId="44" fontId="6" fillId="3" borderId="16" xfId="1" applyFont="1" applyFill="1" applyBorder="1" applyAlignment="1">
      <alignment horizontal="center"/>
    </xf>
    <xf numFmtId="42" fontId="9" fillId="2" borderId="79" xfId="1" applyNumberFormat="1" applyFont="1" applyFill="1" applyBorder="1" applyAlignment="1">
      <alignment horizontal="center"/>
    </xf>
    <xf numFmtId="0" fontId="10" fillId="4" borderId="53" xfId="0" quotePrefix="1" applyNumberFormat="1" applyFont="1" applyFill="1" applyBorder="1" applyAlignment="1">
      <alignment horizontal="center"/>
    </xf>
    <xf numFmtId="0" fontId="10" fillId="6" borderId="53" xfId="0" quotePrefix="1" applyNumberFormat="1" applyFont="1" applyFill="1" applyBorder="1" applyAlignment="1">
      <alignment horizontal="center"/>
    </xf>
    <xf numFmtId="44" fontId="17" fillId="0" borderId="47" xfId="1" applyFont="1" applyBorder="1"/>
    <xf numFmtId="0" fontId="19" fillId="0" borderId="56" xfId="0" quotePrefix="1" applyFont="1" applyBorder="1" applyAlignment="1">
      <alignment horizontal="center"/>
    </xf>
    <xf numFmtId="44" fontId="11" fillId="0" borderId="18" xfId="1" applyFont="1" applyFill="1" applyBorder="1" applyAlignment="1">
      <alignment horizontal="center"/>
    </xf>
    <xf numFmtId="44" fontId="11" fillId="0" borderId="57" xfId="0" quotePrefix="1" applyNumberFormat="1" applyFont="1" applyFill="1" applyBorder="1" applyAlignment="1">
      <alignment horizontal="center"/>
    </xf>
    <xf numFmtId="44" fontId="11" fillId="0" borderId="23" xfId="1" applyFont="1" applyFill="1" applyBorder="1" applyAlignment="1">
      <alignment horizontal="center"/>
    </xf>
    <xf numFmtId="44" fontId="11" fillId="0" borderId="53" xfId="0" applyNumberFormat="1" applyFont="1" applyFill="1" applyBorder="1" applyAlignment="1">
      <alignment horizontal="center"/>
    </xf>
    <xf numFmtId="0" fontId="6" fillId="3" borderId="11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11" fillId="4" borderId="53" xfId="1" quotePrefix="1" applyFont="1" applyFill="1" applyBorder="1" applyAlignment="1">
      <alignment horizontal="center"/>
    </xf>
    <xf numFmtId="0" fontId="11" fillId="4" borderId="23" xfId="0" quotePrefix="1" applyNumberFormat="1" applyFont="1" applyFill="1" applyBorder="1" applyAlignment="1">
      <alignment horizontal="center"/>
    </xf>
    <xf numFmtId="44" fontId="11" fillId="6" borderId="53" xfId="1" quotePrefix="1" applyFont="1" applyFill="1" applyBorder="1" applyAlignment="1">
      <alignment horizontal="center"/>
    </xf>
    <xf numFmtId="0" fontId="11" fillId="6" borderId="23" xfId="0" quotePrefix="1" applyNumberFormat="1" applyFont="1" applyFill="1" applyBorder="1" applyAlignment="1">
      <alignment horizontal="center"/>
    </xf>
    <xf numFmtId="14" fontId="4" fillId="0" borderId="54" xfId="1" applyNumberFormat="1" applyFont="1" applyFill="1" applyBorder="1" applyAlignment="1">
      <alignment horizontal="center"/>
    </xf>
    <xf numFmtId="0" fontId="4" fillId="0" borderId="72" xfId="0" applyNumberFormat="1" applyFont="1" applyFill="1" applyBorder="1" applyAlignment="1">
      <alignment horizontal="center"/>
    </xf>
    <xf numFmtId="14" fontId="16" fillId="0" borderId="15" xfId="3" applyNumberFormat="1" applyFont="1" applyFill="1" applyBorder="1" applyAlignment="1">
      <alignment horizontal="center"/>
    </xf>
    <xf numFmtId="14" fontId="4" fillId="0" borderId="55" xfId="1" applyNumberFormat="1" applyFont="1" applyFill="1" applyBorder="1" applyAlignment="1">
      <alignment horizontal="center"/>
    </xf>
    <xf numFmtId="0" fontId="16" fillId="0" borderId="15" xfId="3" applyNumberFormat="1" applyFont="1" applyFill="1" applyBorder="1" applyAlignment="1">
      <alignment horizontal="center"/>
    </xf>
    <xf numFmtId="0" fontId="16" fillId="0" borderId="4" xfId="3" applyNumberFormat="1" applyFont="1" applyFill="1" applyBorder="1" applyAlignment="1">
      <alignment horizontal="center"/>
    </xf>
    <xf numFmtId="14" fontId="16" fillId="0" borderId="47" xfId="3" applyNumberFormat="1" applyFont="1" applyFill="1" applyBorder="1" applyAlignment="1">
      <alignment horizontal="center"/>
    </xf>
    <xf numFmtId="14" fontId="4" fillId="0" borderId="56" xfId="1" applyNumberFormat="1" applyFont="1" applyFill="1" applyBorder="1" applyAlignment="1">
      <alignment horizontal="center"/>
    </xf>
    <xf numFmtId="0" fontId="16" fillId="0" borderId="47" xfId="3" applyNumberFormat="1" applyFont="1" applyFill="1" applyBorder="1" applyAlignment="1">
      <alignment horizontal="center"/>
    </xf>
    <xf numFmtId="0" fontId="16" fillId="0" borderId="48" xfId="3" applyNumberFormat="1" applyFont="1" applyFill="1" applyBorder="1" applyAlignment="1">
      <alignment horizontal="center"/>
    </xf>
    <xf numFmtId="0" fontId="11" fillId="4" borderId="25" xfId="1" quotePrefix="1" applyNumberFormat="1" applyFont="1" applyFill="1" applyBorder="1" applyAlignment="1">
      <alignment horizontal="center"/>
    </xf>
    <xf numFmtId="0" fontId="11" fillId="6" borderId="25" xfId="1" quotePrefix="1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51" xfId="1" applyNumberFormat="1" applyFont="1" applyFill="1" applyBorder="1" applyAlignment="1">
      <alignment horizontal="center"/>
    </xf>
    <xf numFmtId="0" fontId="11" fillId="4" borderId="23" xfId="1" quotePrefix="1" applyNumberFormat="1" applyFont="1" applyFill="1" applyBorder="1" applyAlignment="1">
      <alignment horizontal="center"/>
    </xf>
    <xf numFmtId="0" fontId="4" fillId="0" borderId="72" xfId="1" applyNumberFormat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47" xfId="1" applyNumberFormat="1" applyFont="1" applyFill="1" applyBorder="1" applyAlignment="1">
      <alignment horizontal="center"/>
    </xf>
    <xf numFmtId="0" fontId="11" fillId="6" borderId="23" xfId="1" quotePrefix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0" fontId="6" fillId="3" borderId="73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9" fillId="2" borderId="34" xfId="1" applyNumberFormat="1" applyFont="1" applyFill="1" applyBorder="1" applyAlignment="1">
      <alignment horizontal="center"/>
    </xf>
    <xf numFmtId="0" fontId="11" fillId="4" borderId="83" xfId="2" quotePrefix="1" applyNumberFormat="1" applyFont="1" applyFill="1" applyBorder="1" applyAlignment="1">
      <alignment horizontal="center"/>
    </xf>
    <xf numFmtId="0" fontId="11" fillId="6" borderId="83" xfId="2" quotePrefix="1" applyNumberFormat="1" applyFont="1" applyFill="1" applyBorder="1" applyAlignment="1">
      <alignment horizontal="center"/>
    </xf>
    <xf numFmtId="0" fontId="6" fillId="3" borderId="12" xfId="2" applyNumberFormat="1" applyFont="1" applyFill="1" applyBorder="1" applyAlignment="1">
      <alignment horizontal="center"/>
    </xf>
    <xf numFmtId="165" fontId="4" fillId="0" borderId="54" xfId="1" applyNumberFormat="1" applyFont="1" applyFill="1" applyBorder="1" applyAlignment="1">
      <alignment horizontal="center"/>
    </xf>
    <xf numFmtId="165" fontId="4" fillId="0" borderId="55" xfId="1" applyNumberFormat="1" applyFont="1" applyFill="1" applyBorder="1" applyAlignment="1">
      <alignment horizontal="center"/>
    </xf>
    <xf numFmtId="165" fontId="4" fillId="0" borderId="56" xfId="1" applyNumberFormat="1" applyFont="1" applyFill="1" applyBorder="1" applyAlignment="1">
      <alignment horizontal="center"/>
    </xf>
    <xf numFmtId="165" fontId="6" fillId="3" borderId="11" xfId="1" applyNumberFormat="1" applyFont="1" applyFill="1" applyBorder="1" applyAlignment="1">
      <alignment horizontal="center"/>
    </xf>
    <xf numFmtId="10" fontId="4" fillId="0" borderId="69" xfId="2" applyNumberFormat="1" applyFont="1" applyFill="1" applyBorder="1" applyAlignment="1">
      <alignment horizontal="center"/>
    </xf>
    <xf numFmtId="10" fontId="4" fillId="0" borderId="70" xfId="2" applyNumberFormat="1" applyFont="1" applyFill="1" applyBorder="1" applyAlignment="1">
      <alignment horizontal="center"/>
    </xf>
    <xf numFmtId="10" fontId="6" fillId="3" borderId="7" xfId="2" applyNumberFormat="1" applyFont="1" applyFill="1" applyBorder="1" applyAlignment="1">
      <alignment horizontal="center"/>
    </xf>
    <xf numFmtId="0" fontId="11" fillId="4" borderId="74" xfId="1" quotePrefix="1" applyNumberFormat="1" applyFont="1" applyFill="1" applyBorder="1" applyAlignment="1">
      <alignment horizontal="center"/>
    </xf>
    <xf numFmtId="0" fontId="11" fillId="6" borderId="74" xfId="1" quotePrefix="1" applyNumberFormat="1" applyFont="1" applyFill="1" applyBorder="1" applyAlignment="1">
      <alignment horizontal="center"/>
    </xf>
    <xf numFmtId="10" fontId="4" fillId="0" borderId="75" xfId="1" applyNumberFormat="1" applyFont="1" applyFill="1" applyBorder="1" applyAlignment="1">
      <alignment horizontal="center"/>
    </xf>
    <xf numFmtId="10" fontId="4" fillId="0" borderId="77" xfId="1" applyNumberFormat="1" applyFont="1" applyFill="1" applyBorder="1" applyAlignment="1">
      <alignment horizontal="center"/>
    </xf>
    <xf numFmtId="10" fontId="4" fillId="0" borderId="78" xfId="1" applyNumberFormat="1" applyFont="1" applyFill="1" applyBorder="1" applyAlignment="1">
      <alignment horizontal="center"/>
    </xf>
    <xf numFmtId="10" fontId="6" fillId="3" borderId="76" xfId="1" applyNumberFormat="1" applyFont="1" applyFill="1" applyBorder="1" applyAlignment="1">
      <alignment horizontal="center"/>
    </xf>
    <xf numFmtId="0" fontId="4" fillId="0" borderId="88" xfId="1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2" fontId="4" fillId="0" borderId="68" xfId="1" applyNumberFormat="1" applyFont="1" applyFill="1" applyBorder="1" applyAlignment="1">
      <alignment horizontal="center"/>
    </xf>
    <xf numFmtId="2" fontId="4" fillId="0" borderId="69" xfId="1" applyNumberFormat="1" applyFont="1" applyFill="1" applyBorder="1" applyAlignment="1">
      <alignment horizontal="center"/>
    </xf>
    <xf numFmtId="2" fontId="4" fillId="0" borderId="70" xfId="1" applyNumberFormat="1" applyFont="1" applyFill="1" applyBorder="1" applyAlignment="1">
      <alignment horizontal="center"/>
    </xf>
    <xf numFmtId="0" fontId="6" fillId="3" borderId="66" xfId="1" quotePrefix="1" applyNumberFormat="1" applyFont="1" applyFill="1" applyBorder="1" applyAlignment="1">
      <alignment horizontal="center"/>
    </xf>
    <xf numFmtId="0" fontId="6" fillId="3" borderId="13" xfId="1" quotePrefix="1" applyNumberFormat="1" applyFont="1" applyFill="1" applyBorder="1" applyAlignment="1">
      <alignment horizontal="center"/>
    </xf>
    <xf numFmtId="42" fontId="9" fillId="2" borderId="40" xfId="1" applyNumberFormat="1" applyFont="1" applyFill="1" applyBorder="1" applyAlignment="1">
      <alignment horizontal="center"/>
    </xf>
    <xf numFmtId="0" fontId="10" fillId="4" borderId="29" xfId="0" quotePrefix="1" applyNumberFormat="1" applyFont="1" applyFill="1" applyBorder="1" applyAlignment="1">
      <alignment horizontal="center"/>
    </xf>
    <xf numFmtId="0" fontId="10" fillId="6" borderId="29" xfId="0" quotePrefix="1" applyNumberFormat="1" applyFont="1" applyFill="1" applyBorder="1" applyAlignment="1">
      <alignment horizontal="center"/>
    </xf>
    <xf numFmtId="167" fontId="4" fillId="0" borderId="68" xfId="1" applyNumberFormat="1" applyFont="1" applyFill="1" applyBorder="1" applyAlignment="1">
      <alignment horizontal="center"/>
    </xf>
    <xf numFmtId="167" fontId="4" fillId="0" borderId="69" xfId="1" applyNumberFormat="1" applyFont="1" applyFill="1" applyBorder="1" applyAlignment="1">
      <alignment horizontal="center"/>
    </xf>
    <xf numFmtId="167" fontId="4" fillId="0" borderId="70" xfId="1" applyNumberFormat="1" applyFont="1" applyFill="1" applyBorder="1" applyAlignment="1">
      <alignment horizontal="center"/>
    </xf>
    <xf numFmtId="167" fontId="6" fillId="3" borderId="66" xfId="1" quotePrefix="1" applyNumberFormat="1" applyFont="1" applyFill="1" applyBorder="1" applyAlignment="1">
      <alignment horizontal="center"/>
    </xf>
    <xf numFmtId="0" fontId="10" fillId="4" borderId="53" xfId="0" applyFont="1" applyFill="1" applyBorder="1"/>
    <xf numFmtId="0" fontId="4" fillId="0" borderId="57" xfId="0" applyFont="1" applyBorder="1"/>
    <xf numFmtId="0" fontId="4" fillId="0" borderId="55" xfId="0" applyFont="1" applyBorder="1"/>
    <xf numFmtId="0" fontId="4" fillId="0" borderId="56" xfId="0" applyFont="1" applyBorder="1"/>
    <xf numFmtId="0" fontId="10" fillId="6" borderId="53" xfId="0" applyFont="1" applyFill="1" applyBorder="1"/>
    <xf numFmtId="42" fontId="11" fillId="4" borderId="92" xfId="1" quotePrefix="1" applyNumberFormat="1" applyFont="1" applyFill="1" applyBorder="1" applyAlignment="1">
      <alignment horizontal="center"/>
    </xf>
    <xf numFmtId="42" fontId="11" fillId="6" borderId="92" xfId="1" quotePrefix="1" applyNumberFormat="1" applyFont="1" applyFill="1" applyBorder="1" applyAlignment="1">
      <alignment horizontal="center"/>
    </xf>
    <xf numFmtId="42" fontId="11" fillId="4" borderId="24" xfId="1" quotePrefix="1" applyNumberFormat="1" applyFont="1" applyFill="1" applyBorder="1" applyAlignment="1">
      <alignment horizontal="center"/>
    </xf>
    <xf numFmtId="42" fontId="11" fillId="6" borderId="24" xfId="1" quotePrefix="1" applyNumberFormat="1" applyFont="1" applyFill="1" applyBorder="1" applyAlignment="1">
      <alignment horizontal="center"/>
    </xf>
    <xf numFmtId="42" fontId="8" fillId="2" borderId="82" xfId="1" applyNumberFormat="1" applyFont="1" applyFill="1" applyBorder="1" applyAlignment="1">
      <alignment horizontal="center"/>
    </xf>
    <xf numFmtId="42" fontId="11" fillId="6" borderId="27" xfId="1" quotePrefix="1" applyNumberFormat="1" applyFont="1" applyFill="1" applyBorder="1" applyAlignment="1">
      <alignment horizontal="center"/>
    </xf>
    <xf numFmtId="42" fontId="11" fillId="4" borderId="27" xfId="1" quotePrefix="1" applyNumberFormat="1" applyFont="1" applyFill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0" xfId="0" applyBorder="1"/>
    <xf numFmtId="44" fontId="17" fillId="0" borderId="65" xfId="0" applyNumberFormat="1" applyFont="1" applyBorder="1"/>
    <xf numFmtId="44" fontId="17" fillId="0" borderId="48" xfId="1" applyFont="1" applyBorder="1"/>
    <xf numFmtId="44" fontId="17" fillId="0" borderId="50" xfId="1" applyFont="1" applyBorder="1"/>
    <xf numFmtId="44" fontId="6" fillId="3" borderId="61" xfId="1" applyNumberFormat="1" applyFont="1" applyFill="1" applyBorder="1" applyAlignment="1">
      <alignment horizontal="center"/>
    </xf>
    <xf numFmtId="44" fontId="6" fillId="3" borderId="5" xfId="1" applyNumberFormat="1" applyFont="1" applyFill="1" applyBorder="1" applyAlignment="1">
      <alignment horizontal="center"/>
    </xf>
    <xf numFmtId="44" fontId="6" fillId="3" borderId="13" xfId="1" applyNumberFormat="1" applyFont="1" applyFill="1" applyBorder="1" applyAlignment="1">
      <alignment horizontal="center"/>
    </xf>
    <xf numFmtId="44" fontId="17" fillId="0" borderId="63" xfId="0" applyNumberFormat="1" applyFont="1" applyBorder="1"/>
    <xf numFmtId="44" fontId="17" fillId="0" borderId="19" xfId="0" applyNumberFormat="1" applyFont="1" applyBorder="1"/>
    <xf numFmtId="44" fontId="17" fillId="0" borderId="22" xfId="0" applyNumberFormat="1" applyFont="1" applyBorder="1"/>
    <xf numFmtId="44" fontId="6" fillId="9" borderId="22" xfId="1" applyNumberFormat="1" applyFont="1" applyFill="1" applyBorder="1" applyAlignment="1">
      <alignment horizontal="center"/>
    </xf>
    <xf numFmtId="44" fontId="21" fillId="9" borderId="14" xfId="3" applyNumberFormat="1" applyFont="1" applyFill="1" applyBorder="1" applyAlignment="1">
      <alignment horizontal="center"/>
    </xf>
    <xf numFmtId="44" fontId="21" fillId="9" borderId="50" xfId="3" applyNumberFormat="1" applyFont="1" applyFill="1" applyBorder="1" applyAlignment="1">
      <alignment horizontal="center"/>
    </xf>
    <xf numFmtId="44" fontId="6" fillId="11" borderId="22" xfId="1" applyNumberFormat="1" applyFont="1" applyFill="1" applyBorder="1" applyAlignment="1">
      <alignment horizontal="center"/>
    </xf>
    <xf numFmtId="44" fontId="6" fillId="11" borderId="14" xfId="1" applyNumberFormat="1" applyFont="1" applyFill="1" applyBorder="1" applyAlignment="1">
      <alignment horizontal="center"/>
    </xf>
    <xf numFmtId="44" fontId="6" fillId="11" borderId="50" xfId="1" applyNumberFormat="1" applyFont="1" applyFill="1" applyBorder="1" applyAlignment="1">
      <alignment horizontal="center"/>
    </xf>
    <xf numFmtId="44" fontId="11" fillId="0" borderId="38" xfId="1" applyFont="1" applyFill="1" applyBorder="1" applyAlignment="1">
      <alignment horizontal="center"/>
    </xf>
    <xf numFmtId="44" fontId="11" fillId="0" borderId="37" xfId="1" applyFont="1" applyFill="1" applyBorder="1" applyAlignment="1">
      <alignment horizontal="center"/>
    </xf>
    <xf numFmtId="44" fontId="11" fillId="0" borderId="0" xfId="1" applyFont="1" applyFill="1" applyBorder="1" applyAlignment="1">
      <alignment horizontal="center"/>
    </xf>
    <xf numFmtId="44" fontId="11" fillId="0" borderId="32" xfId="1" applyFont="1" applyFill="1" applyBorder="1" applyAlignment="1">
      <alignment horizontal="center"/>
    </xf>
    <xf numFmtId="44" fontId="17" fillId="0" borderId="0" xfId="1" applyFont="1" applyBorder="1"/>
    <xf numFmtId="44" fontId="17" fillId="0" borderId="32" xfId="1" applyFont="1" applyBorder="1"/>
    <xf numFmtId="0" fontId="9" fillId="2" borderId="3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44" fontId="4" fillId="0" borderId="54" xfId="0" applyNumberFormat="1" applyFont="1" applyFill="1" applyBorder="1" applyAlignment="1">
      <alignment horizontal="center"/>
    </xf>
    <xf numFmtId="44" fontId="4" fillId="0" borderId="55" xfId="1" applyFont="1" applyFill="1" applyBorder="1" applyAlignment="1">
      <alignment horizontal="center"/>
    </xf>
    <xf numFmtId="44" fontId="4" fillId="0" borderId="79" xfId="1" applyFont="1" applyFill="1" applyBorder="1" applyAlignment="1">
      <alignment horizontal="center"/>
    </xf>
    <xf numFmtId="44" fontId="6" fillId="9" borderId="90" xfId="0" applyNumberFormat="1" applyFont="1" applyFill="1" applyBorder="1" applyAlignment="1">
      <alignment horizontal="center"/>
    </xf>
    <xf numFmtId="44" fontId="6" fillId="9" borderId="31" xfId="1" applyFont="1" applyFill="1" applyBorder="1" applyAlignment="1">
      <alignment horizontal="center"/>
    </xf>
    <xf numFmtId="44" fontId="6" fillId="9" borderId="40" xfId="1" applyFont="1" applyFill="1" applyBorder="1" applyAlignment="1">
      <alignment horizontal="center"/>
    </xf>
    <xf numFmtId="44" fontId="6" fillId="11" borderId="90" xfId="0" applyNumberFormat="1" applyFont="1" applyFill="1" applyBorder="1" applyAlignment="1">
      <alignment horizontal="center"/>
    </xf>
    <xf numFmtId="44" fontId="6" fillId="11" borderId="31" xfId="1" applyFont="1" applyFill="1" applyBorder="1" applyAlignment="1">
      <alignment horizontal="center"/>
    </xf>
    <xf numFmtId="44" fontId="6" fillId="3" borderId="89" xfId="0" quotePrefix="1" applyNumberFormat="1" applyFont="1" applyFill="1" applyBorder="1" applyAlignment="1">
      <alignment horizontal="center"/>
    </xf>
    <xf numFmtId="44" fontId="6" fillId="13" borderId="29" xfId="0" applyNumberFormat="1" applyFont="1" applyFill="1" applyBorder="1" applyAlignment="1">
      <alignment horizontal="center"/>
    </xf>
    <xf numFmtId="44" fontId="6" fillId="13" borderId="30" xfId="0" applyNumberFormat="1" applyFont="1" applyFill="1" applyBorder="1" applyAlignment="1">
      <alignment horizontal="center"/>
    </xf>
    <xf numFmtId="44" fontId="21" fillId="13" borderId="41" xfId="1" applyFont="1" applyFill="1" applyBorder="1"/>
    <xf numFmtId="167" fontId="6" fillId="0" borderId="32" xfId="1" applyNumberFormat="1" applyFont="1" applyFill="1" applyBorder="1" applyAlignment="1">
      <alignment horizontal="center"/>
    </xf>
    <xf numFmtId="167" fontId="6" fillId="0" borderId="14" xfId="1" applyNumberFormat="1" applyFont="1" applyFill="1" applyBorder="1" applyAlignment="1">
      <alignment horizontal="center"/>
    </xf>
    <xf numFmtId="167" fontId="6" fillId="0" borderId="50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2" xfId="0" applyNumberFormat="1" applyFont="1" applyBorder="1" applyAlignment="1">
      <alignment horizontal="center"/>
    </xf>
    <xf numFmtId="14" fontId="16" fillId="0" borderId="9" xfId="3" applyNumberFormat="1" applyFont="1" applyFill="1" applyBorder="1" applyAlignment="1">
      <alignment horizontal="center"/>
    </xf>
    <xf numFmtId="0" fontId="16" fillId="0" borderId="6" xfId="3" applyNumberFormat="1" applyFont="1" applyFill="1" applyBorder="1" applyAlignment="1">
      <alignment horizontal="center"/>
    </xf>
    <xf numFmtId="0" fontId="16" fillId="0" borderId="51" xfId="3" applyNumberFormat="1" applyFont="1" applyFill="1" applyBorder="1" applyAlignment="1">
      <alignment horizontal="center"/>
    </xf>
    <xf numFmtId="14" fontId="16" fillId="0" borderId="55" xfId="3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1" fillId="4" borderId="29" xfId="1" quotePrefix="1" applyNumberFormat="1" applyFont="1" applyFill="1" applyBorder="1" applyAlignment="1">
      <alignment horizontal="center"/>
    </xf>
    <xf numFmtId="1" fontId="4" fillId="0" borderId="72" xfId="1" applyNumberFormat="1" applyFont="1" applyFill="1" applyBorder="1" applyAlignment="1">
      <alignment horizontal="center"/>
    </xf>
    <xf numFmtId="2" fontId="4" fillId="0" borderId="72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1" fontId="4" fillId="0" borderId="47" xfId="1" applyNumberFormat="1" applyFont="1" applyFill="1" applyBorder="1" applyAlignment="1">
      <alignment horizontal="center"/>
    </xf>
    <xf numFmtId="2" fontId="4" fillId="0" borderId="47" xfId="1" applyNumberFormat="1" applyFont="1" applyFill="1" applyBorder="1" applyAlignment="1">
      <alignment horizontal="center"/>
    </xf>
    <xf numFmtId="1" fontId="11" fillId="6" borderId="23" xfId="1" quotePrefix="1" applyNumberFormat="1" applyFont="1" applyFill="1" applyBorder="1" applyAlignment="1">
      <alignment horizontal="center"/>
    </xf>
    <xf numFmtId="2" fontId="11" fillId="6" borderId="23" xfId="1" quotePrefix="1" applyNumberFormat="1" applyFont="1" applyFill="1" applyBorder="1" applyAlignment="1">
      <alignment horizontal="center"/>
    </xf>
    <xf numFmtId="1" fontId="6" fillId="3" borderId="16" xfId="1" applyNumberFormat="1" applyFont="1" applyFill="1" applyBorder="1" applyAlignment="1">
      <alignment horizontal="center"/>
    </xf>
    <xf numFmtId="0" fontId="10" fillId="4" borderId="25" xfId="0" quotePrefix="1" applyNumberFormat="1" applyFont="1" applyFill="1" applyBorder="1" applyAlignment="1">
      <alignment horizontal="center"/>
    </xf>
    <xf numFmtId="168" fontId="4" fillId="0" borderId="72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69" fontId="4" fillId="0" borderId="54" xfId="0" applyNumberFormat="1" applyFont="1" applyFill="1" applyBorder="1" applyAlignment="1">
      <alignment horizontal="center"/>
    </xf>
    <xf numFmtId="166" fontId="4" fillId="0" borderId="9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68" fontId="4" fillId="0" borderId="15" xfId="1" applyNumberFormat="1" applyFont="1" applyFill="1" applyBorder="1" applyAlignment="1">
      <alignment horizontal="center"/>
    </xf>
    <xf numFmtId="10" fontId="4" fillId="0" borderId="9" xfId="1" applyNumberFormat="1" applyFont="1" applyFill="1" applyBorder="1" applyAlignment="1">
      <alignment horizontal="center"/>
    </xf>
    <xf numFmtId="169" fontId="4" fillId="0" borderId="55" xfId="1" applyNumberFormat="1" applyFont="1" applyFill="1" applyBorder="1" applyAlignment="1">
      <alignment horizontal="center"/>
    </xf>
    <xf numFmtId="166" fontId="4" fillId="0" borderId="31" xfId="1" applyNumberFormat="1" applyFont="1" applyFill="1" applyBorder="1" applyAlignment="1">
      <alignment horizontal="center"/>
    </xf>
    <xf numFmtId="44" fontId="4" fillId="0" borderId="6" xfId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0" fontId="4" fillId="0" borderId="81" xfId="1" applyNumberFormat="1" applyFont="1" applyFill="1" applyBorder="1" applyAlignment="1">
      <alignment horizontal="center"/>
    </xf>
    <xf numFmtId="169" fontId="4" fillId="0" borderId="79" xfId="1" applyNumberFormat="1" applyFont="1" applyFill="1" applyBorder="1" applyAlignment="1">
      <alignment horizontal="center"/>
    </xf>
    <xf numFmtId="166" fontId="4" fillId="0" borderId="40" xfId="1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11" fillId="0" borderId="25" xfId="1" applyFont="1" applyFill="1" applyBorder="1" applyAlignment="1">
      <alignment horizontal="center"/>
    </xf>
    <xf numFmtId="44" fontId="11" fillId="0" borderId="20" xfId="1" applyFont="1" applyFill="1" applyBorder="1" applyAlignment="1">
      <alignment horizontal="center"/>
    </xf>
    <xf numFmtId="44" fontId="17" fillId="0" borderId="47" xfId="1" applyFont="1" applyFill="1" applyBorder="1"/>
    <xf numFmtId="0" fontId="19" fillId="0" borderId="56" xfId="0" quotePrefix="1" applyFont="1" applyFill="1" applyBorder="1" applyAlignment="1">
      <alignment horizontal="center"/>
    </xf>
    <xf numFmtId="168" fontId="6" fillId="3" borderId="16" xfId="1" applyNumberFormat="1" applyFont="1" applyFill="1" applyBorder="1" applyAlignment="1">
      <alignment horizontal="center"/>
    </xf>
    <xf numFmtId="44" fontId="6" fillId="3" borderId="10" xfId="1" quotePrefix="1" applyFont="1" applyFill="1" applyBorder="1" applyAlignment="1">
      <alignment horizontal="center"/>
    </xf>
    <xf numFmtId="169" fontId="6" fillId="3" borderId="11" xfId="1" applyNumberFormat="1" applyFont="1" applyFill="1" applyBorder="1" applyAlignment="1">
      <alignment horizontal="center"/>
    </xf>
    <xf numFmtId="166" fontId="6" fillId="3" borderId="89" xfId="1" applyNumberFormat="1" applyFont="1" applyFill="1" applyBorder="1" applyAlignment="1">
      <alignment horizontal="center"/>
    </xf>
    <xf numFmtId="44" fontId="6" fillId="3" borderId="7" xfId="1" applyFont="1" applyFill="1" applyBorder="1" applyAlignment="1">
      <alignment horizontal="center"/>
    </xf>
    <xf numFmtId="0" fontId="10" fillId="6" borderId="25" xfId="0" quotePrefix="1" applyNumberFormat="1" applyFont="1" applyFill="1" applyBorder="1" applyAlignment="1">
      <alignment horizontal="center"/>
    </xf>
    <xf numFmtId="44" fontId="4" fillId="0" borderId="55" xfId="0" applyNumberFormat="1" applyFont="1" applyFill="1" applyBorder="1" applyAlignment="1">
      <alignment horizontal="center"/>
    </xf>
    <xf numFmtId="44" fontId="4" fillId="0" borderId="79" xfId="0" applyNumberFormat="1" applyFont="1" applyFill="1" applyBorder="1" applyAlignment="1">
      <alignment horizontal="center"/>
    </xf>
    <xf numFmtId="0" fontId="4" fillId="0" borderId="0" xfId="0" applyFont="1" applyFill="1"/>
    <xf numFmtId="14" fontId="4" fillId="0" borderId="49" xfId="1" applyNumberFormat="1" applyFont="1" applyFill="1" applyBorder="1" applyAlignment="1">
      <alignment horizontal="center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1" fontId="11" fillId="4" borderId="23" xfId="1" quotePrefix="1" applyNumberFormat="1" applyFont="1" applyFill="1" applyBorder="1" applyAlignment="1">
      <alignment horizontal="center"/>
    </xf>
    <xf numFmtId="0" fontId="14" fillId="0" borderId="0" xfId="0" applyFont="1"/>
    <xf numFmtId="0" fontId="11" fillId="6" borderId="26" xfId="1" quotePrefix="1" applyNumberFormat="1" applyFont="1" applyFill="1" applyBorder="1" applyAlignment="1">
      <alignment horizontal="center"/>
    </xf>
    <xf numFmtId="44" fontId="6" fillId="12" borderId="31" xfId="1" applyFont="1" applyFill="1" applyBorder="1" applyAlignment="1">
      <alignment horizontal="center"/>
    </xf>
    <xf numFmtId="44" fontId="4" fillId="0" borderId="56" xfId="1" applyFont="1" applyFill="1" applyBorder="1" applyAlignment="1">
      <alignment horizontal="center"/>
    </xf>
    <xf numFmtId="44" fontId="6" fillId="12" borderId="41" xfId="1" applyFont="1" applyFill="1" applyBorder="1" applyAlignment="1">
      <alignment horizontal="center"/>
    </xf>
    <xf numFmtId="44" fontId="6" fillId="12" borderId="14" xfId="1" applyNumberFormat="1" applyFont="1" applyFill="1" applyBorder="1" applyAlignment="1">
      <alignment horizontal="center"/>
    </xf>
    <xf numFmtId="44" fontId="6" fillId="12" borderId="50" xfId="1" applyNumberFormat="1" applyFont="1" applyFill="1" applyBorder="1" applyAlignment="1">
      <alignment horizontal="center"/>
    </xf>
    <xf numFmtId="14" fontId="16" fillId="0" borderId="86" xfId="3" applyNumberFormat="1" applyFont="1" applyFill="1" applyBorder="1" applyAlignment="1">
      <alignment horizontal="center"/>
    </xf>
    <xf numFmtId="0" fontId="4" fillId="0" borderId="96" xfId="0" applyNumberFormat="1" applyFont="1" applyFill="1" applyBorder="1" applyAlignment="1">
      <alignment horizontal="center"/>
    </xf>
    <xf numFmtId="0" fontId="4" fillId="0" borderId="97" xfId="0" applyNumberFormat="1" applyFont="1" applyFill="1" applyBorder="1" applyAlignment="1">
      <alignment horizontal="center"/>
    </xf>
    <xf numFmtId="44" fontId="4" fillId="0" borderId="86" xfId="1" applyFont="1" applyFill="1" applyBorder="1" applyAlignment="1">
      <alignment horizontal="center"/>
    </xf>
    <xf numFmtId="14" fontId="4" fillId="0" borderId="18" xfId="1" quotePrefix="1" applyNumberFormat="1" applyFont="1" applyFill="1" applyBorder="1" applyAlignment="1">
      <alignment horizontal="center"/>
    </xf>
    <xf numFmtId="44" fontId="4" fillId="0" borderId="21" xfId="1" quotePrefix="1" applyFont="1" applyFill="1" applyBorder="1" applyAlignment="1">
      <alignment horizontal="center"/>
    </xf>
    <xf numFmtId="14" fontId="4" fillId="0" borderId="21" xfId="1" quotePrefix="1" applyNumberFormat="1" applyFont="1" applyFill="1" applyBorder="1" applyAlignment="1">
      <alignment horizontal="center"/>
    </xf>
    <xf numFmtId="14" fontId="4" fillId="0" borderId="15" xfId="1" quotePrefix="1" applyNumberFormat="1" applyFont="1" applyFill="1" applyBorder="1" applyAlignment="1">
      <alignment horizontal="center"/>
    </xf>
    <xf numFmtId="44" fontId="4" fillId="0" borderId="9" xfId="1" quotePrefix="1" applyFont="1" applyFill="1" applyBorder="1" applyAlignment="1">
      <alignment horizontal="center"/>
    </xf>
    <xf numFmtId="14" fontId="4" fillId="0" borderId="9" xfId="1" quotePrefix="1" applyNumberFormat="1" applyFont="1" applyFill="1" applyBorder="1" applyAlignment="1">
      <alignment horizontal="center"/>
    </xf>
    <xf numFmtId="14" fontId="4" fillId="0" borderId="47" xfId="1" quotePrefix="1" applyNumberFormat="1" applyFont="1" applyFill="1" applyBorder="1" applyAlignment="1">
      <alignment horizontal="center"/>
    </xf>
    <xf numFmtId="44" fontId="4" fillId="0" borderId="49" xfId="1" quotePrefix="1" applyFont="1" applyFill="1" applyBorder="1" applyAlignment="1">
      <alignment horizontal="center"/>
    </xf>
    <xf numFmtId="14" fontId="4" fillId="0" borderId="49" xfId="1" quotePrefix="1" applyNumberFormat="1" applyFont="1" applyFill="1" applyBorder="1" applyAlignment="1">
      <alignment horizontal="center"/>
    </xf>
    <xf numFmtId="0" fontId="16" fillId="0" borderId="56" xfId="3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7" xfId="0" applyFont="1" applyFill="1" applyBorder="1"/>
    <xf numFmtId="0" fontId="23" fillId="0" borderId="0" xfId="0" quotePrefix="1" applyNumberFormat="1" applyFont="1" applyFill="1" applyBorder="1" applyAlignment="1">
      <alignment horizontal="center"/>
    </xf>
    <xf numFmtId="14" fontId="4" fillId="0" borderId="57" xfId="1" quotePrefix="1" applyNumberFormat="1" applyFont="1" applyFill="1" applyBorder="1" applyAlignment="1">
      <alignment horizontal="center"/>
    </xf>
    <xf numFmtId="0" fontId="4" fillId="0" borderId="22" xfId="1" applyNumberFormat="1" applyFont="1" applyFill="1" applyBorder="1" applyAlignment="1">
      <alignment horizontal="center"/>
    </xf>
    <xf numFmtId="0" fontId="4" fillId="0" borderId="46" xfId="2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0" borderId="57" xfId="1" applyNumberFormat="1" applyFont="1" applyFill="1" applyBorder="1" applyAlignment="1">
      <alignment horizontal="center"/>
    </xf>
    <xf numFmtId="167" fontId="4" fillId="0" borderId="71" xfId="1" applyNumberFormat="1" applyFont="1" applyFill="1" applyBorder="1" applyAlignment="1">
      <alignment horizontal="center"/>
    </xf>
    <xf numFmtId="167" fontId="6" fillId="0" borderId="22" xfId="1" applyNumberFormat="1" applyFont="1" applyFill="1" applyBorder="1" applyAlignment="1">
      <alignment horizontal="center"/>
    </xf>
    <xf numFmtId="10" fontId="4" fillId="0" borderId="71" xfId="2" applyNumberFormat="1" applyFont="1" applyFill="1" applyBorder="1" applyAlignment="1">
      <alignment horizontal="center"/>
    </xf>
    <xf numFmtId="0" fontId="4" fillId="0" borderId="46" xfId="1" applyNumberFormat="1" applyFont="1" applyFill="1" applyBorder="1" applyAlignment="1">
      <alignment horizontal="center"/>
    </xf>
    <xf numFmtId="0" fontId="4" fillId="0" borderId="57" xfId="1" applyNumberFormat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71" xfId="1" applyNumberFormat="1" applyFont="1" applyFill="1" applyBorder="1" applyAlignment="1">
      <alignment horizontal="center"/>
    </xf>
    <xf numFmtId="10" fontId="4" fillId="0" borderId="80" xfId="1" applyNumberFormat="1" applyFont="1" applyFill="1" applyBorder="1" applyAlignment="1">
      <alignment horizontal="center"/>
    </xf>
    <xf numFmtId="0" fontId="10" fillId="7" borderId="23" xfId="0" quotePrefix="1" applyFont="1" applyFill="1" applyBorder="1" applyAlignment="1">
      <alignment horizontal="center"/>
    </xf>
    <xf numFmtId="0" fontId="10" fillId="7" borderId="53" xfId="0" applyFont="1" applyFill="1" applyBorder="1"/>
    <xf numFmtId="0" fontId="10" fillId="5" borderId="23" xfId="0" quotePrefix="1" applyFont="1" applyFill="1" applyBorder="1" applyAlignment="1">
      <alignment horizontal="center"/>
    </xf>
    <xf numFmtId="0" fontId="10" fillId="5" borderId="53" xfId="0" applyFont="1" applyFill="1" applyBorder="1"/>
    <xf numFmtId="44" fontId="11" fillId="7" borderId="92" xfId="1" quotePrefix="1" applyNumberFormat="1" applyFont="1" applyFill="1" applyBorder="1" applyAlignment="1">
      <alignment horizontal="center"/>
    </xf>
    <xf numFmtId="44" fontId="11" fillId="7" borderId="24" xfId="1" quotePrefix="1" applyNumberFormat="1" applyFont="1" applyFill="1" applyBorder="1" applyAlignment="1">
      <alignment horizontal="center"/>
    </xf>
    <xf numFmtId="44" fontId="10" fillId="7" borderId="27" xfId="1" quotePrefix="1" applyNumberFormat="1" applyFont="1" applyFill="1" applyBorder="1" applyAlignment="1">
      <alignment horizontal="center"/>
    </xf>
    <xf numFmtId="44" fontId="11" fillId="5" borderId="92" xfId="1" quotePrefix="1" applyNumberFormat="1" applyFont="1" applyFill="1" applyBorder="1" applyAlignment="1">
      <alignment horizontal="center"/>
    </xf>
    <xf numFmtId="44" fontId="11" fillId="5" borderId="24" xfId="1" quotePrefix="1" applyNumberFormat="1" applyFont="1" applyFill="1" applyBorder="1" applyAlignment="1">
      <alignment horizontal="center"/>
    </xf>
    <xf numFmtId="44" fontId="10" fillId="5" borderId="27" xfId="1" quotePrefix="1" applyNumberFormat="1" applyFont="1" applyFill="1" applyBorder="1" applyAlignment="1">
      <alignment horizontal="center"/>
    </xf>
    <xf numFmtId="0" fontId="4" fillId="0" borderId="23" xfId="0" applyFont="1" applyFill="1" applyBorder="1"/>
    <xf numFmtId="44" fontId="16" fillId="0" borderId="62" xfId="0" applyNumberFormat="1" applyFont="1" applyBorder="1"/>
    <xf numFmtId="44" fontId="16" fillId="0" borderId="27" xfId="0" applyNumberFormat="1" applyFont="1" applyBorder="1"/>
    <xf numFmtId="44" fontId="16" fillId="0" borderId="24" xfId="0" applyNumberFormat="1" applyFont="1" applyFill="1" applyBorder="1"/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/>
    <xf numFmtId="14" fontId="4" fillId="0" borderId="99" xfId="1" quotePrefix="1" applyNumberFormat="1" applyFont="1" applyFill="1" applyBorder="1" applyAlignment="1">
      <alignment horizontal="center"/>
    </xf>
    <xf numFmtId="44" fontId="4" fillId="0" borderId="104" xfId="1" quotePrefix="1" applyFont="1" applyFill="1" applyBorder="1" applyAlignment="1">
      <alignment horizontal="center"/>
    </xf>
    <xf numFmtId="14" fontId="4" fillId="0" borderId="104" xfId="1" quotePrefix="1" applyNumberFormat="1" applyFont="1" applyFill="1" applyBorder="1" applyAlignment="1">
      <alignment horizontal="center"/>
    </xf>
    <xf numFmtId="14" fontId="4" fillId="0" borderId="104" xfId="1" applyNumberFormat="1" applyFont="1" applyFill="1" applyBorder="1" applyAlignment="1">
      <alignment horizontal="center"/>
    </xf>
    <xf numFmtId="42" fontId="4" fillId="0" borderId="99" xfId="1" quotePrefix="1" applyNumberFormat="1" applyFont="1" applyFill="1" applyBorder="1" applyAlignment="1">
      <alignment horizontal="center"/>
    </xf>
    <xf numFmtId="14" fontId="4" fillId="0" borderId="100" xfId="1" quotePrefix="1" applyNumberFormat="1" applyFont="1" applyFill="1" applyBorder="1" applyAlignment="1">
      <alignment horizontal="center"/>
    </xf>
    <xf numFmtId="0" fontId="4" fillId="0" borderId="104" xfId="0" applyNumberFormat="1" applyFont="1" applyFill="1" applyBorder="1" applyAlignment="1">
      <alignment horizontal="center"/>
    </xf>
    <xf numFmtId="0" fontId="4" fillId="0" borderId="103" xfId="1" applyNumberFormat="1" applyFont="1" applyFill="1" applyBorder="1" applyAlignment="1">
      <alignment horizontal="center"/>
    </xf>
    <xf numFmtId="0" fontId="4" fillId="0" borderId="106" xfId="2" applyNumberFormat="1" applyFont="1" applyFill="1" applyBorder="1" applyAlignment="1">
      <alignment horizontal="center"/>
    </xf>
    <xf numFmtId="0" fontId="4" fillId="0" borderId="100" xfId="0" applyNumberFormat="1" applyFont="1" applyFill="1" applyBorder="1" applyAlignment="1">
      <alignment horizontal="center"/>
    </xf>
    <xf numFmtId="0" fontId="4" fillId="0" borderId="102" xfId="1" applyNumberFormat="1" applyFont="1" applyFill="1" applyBorder="1" applyAlignment="1">
      <alignment horizontal="center"/>
    </xf>
    <xf numFmtId="0" fontId="4" fillId="0" borderId="99" xfId="1" applyNumberFormat="1" applyFont="1" applyFill="1" applyBorder="1" applyAlignment="1">
      <alignment horizontal="center"/>
    </xf>
    <xf numFmtId="164" fontId="4" fillId="0" borderId="105" xfId="1" applyNumberFormat="1" applyFont="1" applyFill="1" applyBorder="1" applyAlignment="1">
      <alignment horizontal="center"/>
    </xf>
    <xf numFmtId="165" fontId="4" fillId="0" borderId="102" xfId="1" applyNumberFormat="1" applyFont="1" applyFill="1" applyBorder="1" applyAlignment="1">
      <alignment horizontal="center"/>
    </xf>
    <xf numFmtId="165" fontId="4" fillId="0" borderId="100" xfId="1" applyNumberFormat="1" applyFont="1" applyFill="1" applyBorder="1" applyAlignment="1">
      <alignment horizontal="center"/>
    </xf>
    <xf numFmtId="167" fontId="4" fillId="0" borderId="107" xfId="1" applyNumberFormat="1" applyFont="1" applyFill="1" applyBorder="1" applyAlignment="1">
      <alignment horizontal="center"/>
    </xf>
    <xf numFmtId="167" fontId="6" fillId="0" borderId="103" xfId="1" applyNumberFormat="1" applyFont="1" applyFill="1" applyBorder="1" applyAlignment="1">
      <alignment horizontal="center"/>
    </xf>
    <xf numFmtId="0" fontId="4" fillId="0" borderId="109" xfId="1" applyNumberFormat="1" applyFont="1" applyFill="1" applyBorder="1" applyAlignment="1">
      <alignment horizontal="center"/>
    </xf>
    <xf numFmtId="10" fontId="4" fillId="0" borderId="107" xfId="2" applyNumberFormat="1" applyFont="1" applyFill="1" applyBorder="1" applyAlignment="1">
      <alignment horizontal="center"/>
    </xf>
    <xf numFmtId="0" fontId="4" fillId="0" borderId="106" xfId="1" applyNumberFormat="1" applyFont="1" applyFill="1" applyBorder="1" applyAlignment="1">
      <alignment horizontal="center"/>
    </xf>
    <xf numFmtId="0" fontId="4" fillId="0" borderId="100" xfId="1" applyNumberFormat="1" applyFont="1" applyFill="1" applyBorder="1" applyAlignment="1">
      <alignment horizontal="center"/>
    </xf>
    <xf numFmtId="1" fontId="4" fillId="0" borderId="99" xfId="1" applyNumberFormat="1" applyFont="1" applyFill="1" applyBorder="1" applyAlignment="1">
      <alignment horizontal="center"/>
    </xf>
    <xf numFmtId="2" fontId="4" fillId="0" borderId="107" xfId="1" applyNumberFormat="1" applyFont="1" applyFill="1" applyBorder="1" applyAlignment="1">
      <alignment horizontal="center"/>
    </xf>
    <xf numFmtId="10" fontId="4" fillId="0" borderId="110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5" xfId="0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56" xfId="0" applyFont="1" applyFill="1" applyBorder="1"/>
    <xf numFmtId="0" fontId="24" fillId="0" borderId="0" xfId="0" quotePrefix="1" applyNumberFormat="1" applyFont="1" applyFill="1" applyBorder="1" applyAlignment="1">
      <alignment horizontal="center"/>
    </xf>
    <xf numFmtId="0" fontId="4" fillId="0" borderId="105" xfId="0" quotePrefix="1" applyNumberFormat="1" applyFont="1" applyFill="1" applyBorder="1" applyAlignment="1">
      <alignment horizontal="center"/>
    </xf>
    <xf numFmtId="0" fontId="4" fillId="0" borderId="102" xfId="0" quotePrefix="1" applyNumberFormat="1" applyFont="1" applyFill="1" applyBorder="1" applyAlignment="1">
      <alignment horizontal="center"/>
    </xf>
    <xf numFmtId="44" fontId="4" fillId="0" borderId="99" xfId="1" applyFont="1" applyFill="1" applyBorder="1" applyAlignment="1">
      <alignment horizontal="center"/>
    </xf>
    <xf numFmtId="44" fontId="4" fillId="0" borderId="100" xfId="0" quotePrefix="1" applyNumberFormat="1" applyFont="1" applyFill="1" applyBorder="1" applyAlignment="1">
      <alignment horizontal="center"/>
    </xf>
    <xf numFmtId="44" fontId="4" fillId="0" borderId="98" xfId="0" quotePrefix="1" applyNumberFormat="1" applyFont="1" applyFill="1" applyBorder="1" applyAlignment="1">
      <alignment horizontal="center"/>
    </xf>
    <xf numFmtId="168" fontId="4" fillId="0" borderId="99" xfId="1" applyNumberFormat="1" applyFont="1" applyFill="1" applyBorder="1" applyAlignment="1">
      <alignment horizontal="center"/>
    </xf>
    <xf numFmtId="10" fontId="4" fillId="0" borderId="104" xfId="1" applyNumberFormat="1" applyFont="1" applyFill="1" applyBorder="1" applyAlignment="1">
      <alignment horizontal="center"/>
    </xf>
    <xf numFmtId="169" fontId="4" fillId="0" borderId="100" xfId="1" applyNumberFormat="1" applyFont="1" applyFill="1" applyBorder="1" applyAlignment="1">
      <alignment horizontal="center"/>
    </xf>
    <xf numFmtId="166" fontId="4" fillId="0" borderId="98" xfId="1" applyNumberFormat="1" applyFont="1" applyFill="1" applyBorder="1" applyAlignment="1">
      <alignment horizontal="center"/>
    </xf>
    <xf numFmtId="44" fontId="4" fillId="0" borderId="105" xfId="1" applyFont="1" applyFill="1" applyBorder="1" applyAlignment="1">
      <alignment horizontal="center"/>
    </xf>
    <xf numFmtId="44" fontId="4" fillId="0" borderId="100" xfId="1" quotePrefix="1" applyFont="1" applyFill="1" applyBorder="1" applyAlignment="1">
      <alignment horizontal="center"/>
    </xf>
    <xf numFmtId="44" fontId="4" fillId="0" borderId="98" xfId="1" quotePrefix="1" applyFont="1" applyFill="1" applyBorder="1" applyAlignment="1">
      <alignment horizontal="center"/>
    </xf>
    <xf numFmtId="0" fontId="4" fillId="0" borderId="99" xfId="0" quotePrefix="1" applyNumberFormat="1" applyFont="1" applyFill="1" applyBorder="1" applyAlignment="1">
      <alignment horizontal="center"/>
    </xf>
    <xf numFmtId="0" fontId="4" fillId="0" borderId="4" xfId="0" quotePrefix="1" applyNumberFormat="1" applyFont="1" applyFill="1" applyBorder="1" applyAlignment="1">
      <alignment horizontal="center"/>
    </xf>
    <xf numFmtId="0" fontId="6" fillId="3" borderId="7" xfId="0" quotePrefix="1" applyNumberFormat="1" applyFont="1" applyFill="1" applyBorder="1" applyAlignment="1">
      <alignment horizontal="center"/>
    </xf>
    <xf numFmtId="14" fontId="6" fillId="3" borderId="16" xfId="1" quotePrefix="1" applyNumberFormat="1" applyFont="1" applyFill="1" applyBorder="1" applyAlignment="1">
      <alignment horizontal="center"/>
    </xf>
    <xf numFmtId="14" fontId="6" fillId="3" borderId="10" xfId="1" quotePrefix="1" applyNumberFormat="1" applyFont="1" applyFill="1" applyBorder="1" applyAlignment="1">
      <alignment horizontal="center"/>
    </xf>
    <xf numFmtId="42" fontId="20" fillId="3" borderId="16" xfId="1" quotePrefix="1" applyNumberFormat="1" applyFont="1" applyFill="1" applyBorder="1" applyAlignment="1">
      <alignment horizontal="center"/>
    </xf>
    <xf numFmtId="14" fontId="20" fillId="3" borderId="11" xfId="1" quotePrefix="1" applyNumberFormat="1" applyFont="1" applyFill="1" applyBorder="1" applyAlignment="1">
      <alignment horizontal="center"/>
    </xf>
    <xf numFmtId="0" fontId="20" fillId="3" borderId="16" xfId="0" quotePrefix="1" applyNumberFormat="1" applyFont="1" applyFill="1" applyBorder="1" applyAlignment="1">
      <alignment horizontal="center"/>
    </xf>
    <xf numFmtId="0" fontId="20" fillId="3" borderId="5" xfId="0" quotePrefix="1" applyNumberFormat="1" applyFont="1" applyFill="1" applyBorder="1" applyAlignment="1">
      <alignment horizontal="center"/>
    </xf>
    <xf numFmtId="0" fontId="11" fillId="0" borderId="0" xfId="0" applyFont="1"/>
    <xf numFmtId="9" fontId="11" fillId="0" borderId="0" xfId="2" applyFont="1" applyFill="1" applyBorder="1" applyAlignment="1">
      <alignment horizontal="center"/>
    </xf>
    <xf numFmtId="14" fontId="11" fillId="7" borderId="23" xfId="1" quotePrefix="1" applyNumberFormat="1" applyFont="1" applyFill="1" applyBorder="1" applyAlignment="1">
      <alignment horizontal="center"/>
    </xf>
    <xf numFmtId="44" fontId="11" fillId="7" borderId="26" xfId="1" quotePrefix="1" applyFont="1" applyFill="1" applyBorder="1" applyAlignment="1">
      <alignment horizontal="center"/>
    </xf>
    <xf numFmtId="14" fontId="11" fillId="7" borderId="26" xfId="1" quotePrefix="1" applyNumberFormat="1" applyFont="1" applyFill="1" applyBorder="1" applyAlignment="1">
      <alignment horizontal="center"/>
    </xf>
    <xf numFmtId="0" fontId="11" fillId="7" borderId="25" xfId="0" quotePrefix="1" applyNumberFormat="1" applyFont="1" applyFill="1" applyBorder="1" applyAlignment="1">
      <alignment horizontal="center"/>
    </xf>
    <xf numFmtId="0" fontId="11" fillId="7" borderId="24" xfId="0" quotePrefix="1" applyNumberFormat="1" applyFont="1" applyFill="1" applyBorder="1" applyAlignment="1">
      <alignment horizontal="center"/>
    </xf>
    <xf numFmtId="9" fontId="11" fillId="7" borderId="24" xfId="2" quotePrefix="1" applyFont="1" applyFill="1" applyBorder="1" applyAlignment="1">
      <alignment horizontal="center"/>
    </xf>
    <xf numFmtId="14" fontId="11" fillId="7" borderId="53" xfId="1" applyNumberFormat="1" applyFont="1" applyFill="1" applyBorder="1" applyAlignment="1">
      <alignment horizontal="center"/>
    </xf>
    <xf numFmtId="0" fontId="11" fillId="7" borderId="23" xfId="0" quotePrefix="1" applyNumberFormat="1" applyFont="1" applyFill="1" applyBorder="1" applyAlignment="1">
      <alignment horizontal="center"/>
    </xf>
    <xf numFmtId="44" fontId="11" fillId="7" borderId="23" xfId="0" quotePrefix="1" applyNumberFormat="1" applyFont="1" applyFill="1" applyBorder="1" applyAlignment="1">
      <alignment horizontal="center"/>
    </xf>
    <xf numFmtId="44" fontId="10" fillId="7" borderId="53" xfId="0" quotePrefix="1" applyNumberFormat="1" applyFont="1" applyFill="1" applyBorder="1" applyAlignment="1">
      <alignment horizontal="center"/>
    </xf>
    <xf numFmtId="44" fontId="11" fillId="7" borderId="53" xfId="0" quotePrefix="1" applyNumberFormat="1" applyFont="1" applyFill="1" applyBorder="1" applyAlignment="1">
      <alignment horizontal="center"/>
    </xf>
    <xf numFmtId="44" fontId="10" fillId="7" borderId="29" xfId="0" quotePrefix="1" applyNumberFormat="1" applyFont="1" applyFill="1" applyBorder="1" applyAlignment="1">
      <alignment horizontal="center"/>
    </xf>
    <xf numFmtId="44" fontId="11" fillId="7" borderId="26" xfId="0" quotePrefix="1" applyNumberFormat="1" applyFont="1" applyFill="1" applyBorder="1" applyAlignment="1">
      <alignment horizontal="center"/>
    </xf>
    <xf numFmtId="44" fontId="11" fillId="7" borderId="29" xfId="0" quotePrefix="1" applyNumberFormat="1" applyFont="1" applyFill="1" applyBorder="1" applyAlignment="1">
      <alignment horizontal="center"/>
    </xf>
    <xf numFmtId="44" fontId="11" fillId="7" borderId="25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7" borderId="43" xfId="2" quotePrefix="1" applyNumberFormat="1" applyFont="1" applyFill="1" applyBorder="1" applyAlignment="1">
      <alignment horizontal="center"/>
    </xf>
    <xf numFmtId="0" fontId="11" fillId="7" borderId="23" xfId="1" quotePrefix="1" applyNumberFormat="1" applyFont="1" applyFill="1" applyBorder="1" applyAlignment="1">
      <alignment horizontal="center"/>
    </xf>
    <xf numFmtId="164" fontId="11" fillId="7" borderId="25" xfId="1" quotePrefix="1" applyNumberFormat="1" applyFont="1" applyFill="1" applyBorder="1" applyAlignment="1">
      <alignment horizontal="center"/>
    </xf>
    <xf numFmtId="165" fontId="11" fillId="7" borderId="24" xfId="1" quotePrefix="1" applyNumberFormat="1" applyFont="1" applyFill="1" applyBorder="1" applyAlignment="1">
      <alignment horizontal="center"/>
    </xf>
    <xf numFmtId="165" fontId="11" fillId="7" borderId="53" xfId="1" quotePrefix="1" applyNumberFormat="1" applyFont="1" applyFill="1" applyBorder="1" applyAlignment="1">
      <alignment horizontal="center"/>
    </xf>
    <xf numFmtId="0" fontId="11" fillId="7" borderId="67" xfId="1" quotePrefix="1" applyNumberFormat="1" applyFont="1" applyFill="1" applyBorder="1" applyAlignment="1">
      <alignment horizontal="center"/>
    </xf>
    <xf numFmtId="0" fontId="11" fillId="7" borderId="27" xfId="1" quotePrefix="1" applyNumberFormat="1" applyFont="1" applyFill="1" applyBorder="1" applyAlignment="1">
      <alignment horizontal="center"/>
    </xf>
    <xf numFmtId="0" fontId="11" fillId="7" borderId="83" xfId="2" quotePrefix="1" applyNumberFormat="1" applyFont="1" applyFill="1" applyBorder="1" applyAlignment="1">
      <alignment horizontal="center"/>
    </xf>
    <xf numFmtId="10" fontId="11" fillId="7" borderId="67" xfId="2" quotePrefix="1" applyNumberFormat="1" applyFont="1" applyFill="1" applyBorder="1" applyAlignment="1">
      <alignment horizontal="center"/>
    </xf>
    <xf numFmtId="0" fontId="11" fillId="7" borderId="43" xfId="1" quotePrefix="1" applyNumberFormat="1" applyFont="1" applyFill="1" applyBorder="1" applyAlignment="1">
      <alignment horizontal="center"/>
    </xf>
    <xf numFmtId="0" fontId="11" fillId="7" borderId="53" xfId="1" quotePrefix="1" applyNumberFormat="1" applyFont="1" applyFill="1" applyBorder="1" applyAlignment="1">
      <alignment horizontal="center"/>
    </xf>
    <xf numFmtId="1" fontId="11" fillId="7" borderId="23" xfId="1" quotePrefix="1" applyNumberFormat="1" applyFont="1" applyFill="1" applyBorder="1" applyAlignment="1">
      <alignment horizontal="center"/>
    </xf>
    <xf numFmtId="2" fontId="11" fillId="7" borderId="23" xfId="1" quotePrefix="1" applyNumberFormat="1" applyFont="1" applyFill="1" applyBorder="1" applyAlignment="1">
      <alignment horizontal="center"/>
    </xf>
    <xf numFmtId="0" fontId="11" fillId="7" borderId="62" xfId="1" quotePrefix="1" applyNumberFormat="1" applyFont="1" applyFill="1" applyBorder="1" applyAlignment="1">
      <alignment horizontal="center"/>
    </xf>
    <xf numFmtId="10" fontId="11" fillId="7" borderId="74" xfId="1" quotePrefix="1" applyNumberFormat="1" applyFont="1" applyFill="1" applyBorder="1" applyAlignment="1">
      <alignment horizontal="center"/>
    </xf>
    <xf numFmtId="14" fontId="11" fillId="5" borderId="23" xfId="1" quotePrefix="1" applyNumberFormat="1" applyFont="1" applyFill="1" applyBorder="1" applyAlignment="1">
      <alignment horizontal="center"/>
    </xf>
    <xf numFmtId="44" fontId="11" fillId="5" borderId="26" xfId="1" quotePrefix="1" applyFont="1" applyFill="1" applyBorder="1" applyAlignment="1">
      <alignment horizontal="center"/>
    </xf>
    <xf numFmtId="14" fontId="11" fillId="5" borderId="26" xfId="1" quotePrefix="1" applyNumberFormat="1" applyFont="1" applyFill="1" applyBorder="1" applyAlignment="1">
      <alignment horizontal="center"/>
    </xf>
    <xf numFmtId="0" fontId="11" fillId="5" borderId="25" xfId="0" quotePrefix="1" applyNumberFormat="1" applyFont="1" applyFill="1" applyBorder="1" applyAlignment="1">
      <alignment horizontal="center"/>
    </xf>
    <xf numFmtId="0" fontId="11" fillId="5" borderId="24" xfId="0" quotePrefix="1" applyNumberFormat="1" applyFont="1" applyFill="1" applyBorder="1" applyAlignment="1">
      <alignment horizontal="center"/>
    </xf>
    <xf numFmtId="9" fontId="11" fillId="5" borderId="24" xfId="2" quotePrefix="1" applyFont="1" applyFill="1" applyBorder="1" applyAlignment="1">
      <alignment horizontal="center"/>
    </xf>
    <xf numFmtId="14" fontId="11" fillId="5" borderId="53" xfId="1" applyNumberFormat="1" applyFont="1" applyFill="1" applyBorder="1" applyAlignment="1">
      <alignment horizontal="center"/>
    </xf>
    <xf numFmtId="0" fontId="11" fillId="5" borderId="23" xfId="0" quotePrefix="1" applyNumberFormat="1" applyFont="1" applyFill="1" applyBorder="1" applyAlignment="1">
      <alignment horizontal="center"/>
    </xf>
    <xf numFmtId="44" fontId="11" fillId="5" borderId="23" xfId="0" quotePrefix="1" applyNumberFormat="1" applyFont="1" applyFill="1" applyBorder="1" applyAlignment="1">
      <alignment horizontal="center"/>
    </xf>
    <xf numFmtId="44" fontId="10" fillId="5" borderId="53" xfId="0" quotePrefix="1" applyNumberFormat="1" applyFont="1" applyFill="1" applyBorder="1" applyAlignment="1">
      <alignment horizontal="center"/>
    </xf>
    <xf numFmtId="44" fontId="11" fillId="5" borderId="53" xfId="0" quotePrefix="1" applyNumberFormat="1" applyFont="1" applyFill="1" applyBorder="1" applyAlignment="1">
      <alignment horizontal="center"/>
    </xf>
    <xf numFmtId="44" fontId="10" fillId="5" borderId="29" xfId="0" quotePrefix="1" applyNumberFormat="1" applyFont="1" applyFill="1" applyBorder="1" applyAlignment="1">
      <alignment horizontal="center"/>
    </xf>
    <xf numFmtId="44" fontId="11" fillId="5" borderId="26" xfId="0" quotePrefix="1" applyNumberFormat="1" applyFont="1" applyFill="1" applyBorder="1" applyAlignment="1">
      <alignment horizontal="center"/>
    </xf>
    <xf numFmtId="44" fontId="11" fillId="5" borderId="29" xfId="0" quotePrefix="1" applyNumberFormat="1" applyFont="1" applyFill="1" applyBorder="1" applyAlignment="1">
      <alignment horizontal="center"/>
    </xf>
    <xf numFmtId="44" fontId="11" fillId="5" borderId="25" xfId="0" quotePrefix="1" applyNumberFormat="1" applyFont="1" applyFill="1" applyBorder="1" applyAlignment="1">
      <alignment horizontal="center"/>
    </xf>
    <xf numFmtId="0" fontId="11" fillId="5" borderId="43" xfId="2" quotePrefix="1" applyNumberFormat="1" applyFont="1" applyFill="1" applyBorder="1" applyAlignment="1">
      <alignment horizontal="center"/>
    </xf>
    <xf numFmtId="0" fontId="11" fillId="5" borderId="23" xfId="1" quotePrefix="1" applyNumberFormat="1" applyFont="1" applyFill="1" applyBorder="1" applyAlignment="1">
      <alignment horizontal="center"/>
    </xf>
    <xf numFmtId="164" fontId="11" fillId="5" borderId="25" xfId="1" quotePrefix="1" applyNumberFormat="1" applyFont="1" applyFill="1" applyBorder="1" applyAlignment="1">
      <alignment horizontal="center"/>
    </xf>
    <xf numFmtId="165" fontId="11" fillId="5" borderId="24" xfId="1" quotePrefix="1" applyNumberFormat="1" applyFont="1" applyFill="1" applyBorder="1" applyAlignment="1">
      <alignment horizontal="center"/>
    </xf>
    <xf numFmtId="165" fontId="11" fillId="5" borderId="53" xfId="1" quotePrefix="1" applyNumberFormat="1" applyFont="1" applyFill="1" applyBorder="1" applyAlignment="1">
      <alignment horizontal="center"/>
    </xf>
    <xf numFmtId="0" fontId="11" fillId="5" borderId="67" xfId="1" quotePrefix="1" applyNumberFormat="1" applyFont="1" applyFill="1" applyBorder="1" applyAlignment="1">
      <alignment horizontal="center"/>
    </xf>
    <xf numFmtId="0" fontId="11" fillId="5" borderId="27" xfId="1" quotePrefix="1" applyNumberFormat="1" applyFont="1" applyFill="1" applyBorder="1" applyAlignment="1">
      <alignment horizontal="center"/>
    </xf>
    <xf numFmtId="0" fontId="11" fillId="5" borderId="83" xfId="2" quotePrefix="1" applyNumberFormat="1" applyFont="1" applyFill="1" applyBorder="1" applyAlignment="1">
      <alignment horizontal="center"/>
    </xf>
    <xf numFmtId="10" fontId="11" fillId="5" borderId="67" xfId="2" quotePrefix="1" applyNumberFormat="1" applyFont="1" applyFill="1" applyBorder="1" applyAlignment="1">
      <alignment horizontal="center"/>
    </xf>
    <xf numFmtId="0" fontId="11" fillId="5" borderId="43" xfId="1" quotePrefix="1" applyNumberFormat="1" applyFont="1" applyFill="1" applyBorder="1" applyAlignment="1">
      <alignment horizontal="center"/>
    </xf>
    <xf numFmtId="0" fontId="11" fillId="5" borderId="53" xfId="1" quotePrefix="1" applyNumberFormat="1" applyFont="1" applyFill="1" applyBorder="1" applyAlignment="1">
      <alignment horizontal="center"/>
    </xf>
    <xf numFmtId="0" fontId="11" fillId="5" borderId="26" xfId="1" quotePrefix="1" applyNumberFormat="1" applyFont="1" applyFill="1" applyBorder="1" applyAlignment="1">
      <alignment horizontal="center"/>
    </xf>
    <xf numFmtId="0" fontId="11" fillId="5" borderId="24" xfId="1" quotePrefix="1" applyNumberFormat="1" applyFont="1" applyFill="1" applyBorder="1" applyAlignment="1">
      <alignment horizontal="center"/>
    </xf>
    <xf numFmtId="1" fontId="11" fillId="5" borderId="23" xfId="1" quotePrefix="1" applyNumberFormat="1" applyFont="1" applyFill="1" applyBorder="1" applyAlignment="1">
      <alignment horizontal="center"/>
    </xf>
    <xf numFmtId="2" fontId="11" fillId="5" borderId="23" xfId="1" quotePrefix="1" applyNumberFormat="1" applyFont="1" applyFill="1" applyBorder="1" applyAlignment="1">
      <alignment horizontal="center"/>
    </xf>
    <xf numFmtId="0" fontId="11" fillId="5" borderId="62" xfId="1" quotePrefix="1" applyNumberFormat="1" applyFont="1" applyFill="1" applyBorder="1" applyAlignment="1">
      <alignment horizontal="center"/>
    </xf>
    <xf numFmtId="10" fontId="11" fillId="5" borderId="74" xfId="1" quotePrefix="1" applyNumberFormat="1" applyFont="1" applyFill="1" applyBorder="1" applyAlignment="1">
      <alignment horizontal="center"/>
    </xf>
    <xf numFmtId="44" fontId="3" fillId="15" borderId="0" xfId="1" applyFont="1" applyFill="1"/>
    <xf numFmtId="44" fontId="14" fillId="15" borderId="0" xfId="1" applyFont="1" applyFill="1"/>
    <xf numFmtId="0" fontId="14" fillId="15" borderId="0" xfId="0" applyFont="1" applyFill="1"/>
    <xf numFmtId="44" fontId="14" fillId="15" borderId="0" xfId="0" applyNumberFormat="1" applyFont="1" applyFill="1"/>
    <xf numFmtId="0" fontId="3" fillId="15" borderId="0" xfId="0" applyFont="1" applyFill="1" applyAlignment="1">
      <alignment horizontal="center"/>
    </xf>
    <xf numFmtId="0" fontId="6" fillId="15" borderId="0" xfId="0" applyFont="1" applyFill="1"/>
    <xf numFmtId="0" fontId="4" fillId="15" borderId="0" xfId="0" applyFont="1" applyFill="1"/>
    <xf numFmtId="44" fontId="6" fillId="15" borderId="0" xfId="0" applyNumberFormat="1" applyFont="1" applyFill="1"/>
    <xf numFmtId="0" fontId="25" fillId="0" borderId="0" xfId="0" applyFont="1" applyAlignment="1">
      <alignment vertical="center"/>
    </xf>
    <xf numFmtId="0" fontId="26" fillId="0" borderId="0" xfId="0" applyFont="1" applyAlignment="1"/>
    <xf numFmtId="9" fontId="4" fillId="16" borderId="28" xfId="2" applyFont="1" applyFill="1" applyBorder="1" applyAlignment="1">
      <alignment horizontal="center"/>
    </xf>
    <xf numFmtId="9" fontId="16" fillId="16" borderId="4" xfId="3" applyNumberFormat="1" applyFont="1" applyFill="1" applyBorder="1" applyAlignment="1">
      <alignment horizontal="center"/>
    </xf>
    <xf numFmtId="9" fontId="16" fillId="16" borderId="48" xfId="3" applyNumberFormat="1" applyFont="1" applyFill="1" applyBorder="1" applyAlignment="1">
      <alignment horizontal="center"/>
    </xf>
    <xf numFmtId="9" fontId="4" fillId="16" borderId="4" xfId="2" applyFont="1" applyFill="1" applyBorder="1" applyAlignment="1">
      <alignment horizontal="center"/>
    </xf>
    <xf numFmtId="9" fontId="4" fillId="16" borderId="48" xfId="2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/>
    <xf numFmtId="0" fontId="27" fillId="0" borderId="0" xfId="0" applyFont="1"/>
    <xf numFmtId="0" fontId="4" fillId="16" borderId="18" xfId="0" applyNumberFormat="1" applyFont="1" applyFill="1" applyBorder="1" applyAlignment="1">
      <alignment horizontal="center"/>
    </xf>
    <xf numFmtId="0" fontId="4" fillId="16" borderId="15" xfId="0" applyNumberFormat="1" applyFont="1" applyFill="1" applyBorder="1" applyAlignment="1">
      <alignment horizontal="center"/>
    </xf>
    <xf numFmtId="0" fontId="4" fillId="16" borderId="47" xfId="0" applyNumberFormat="1" applyFont="1" applyFill="1" applyBorder="1" applyAlignment="1">
      <alignment horizontal="center"/>
    </xf>
    <xf numFmtId="0" fontId="4" fillId="16" borderId="99" xfId="0" applyNumberFormat="1" applyFont="1" applyFill="1" applyBorder="1" applyAlignment="1">
      <alignment horizontal="center"/>
    </xf>
    <xf numFmtId="44" fontId="4" fillId="0" borderId="104" xfId="0" applyNumberFormat="1" applyFont="1" applyFill="1" applyBorder="1" applyAlignment="1">
      <alignment horizontal="center"/>
    </xf>
    <xf numFmtId="14" fontId="4" fillId="0" borderId="55" xfId="1" quotePrefix="1" applyNumberFormat="1" applyFont="1" applyFill="1" applyBorder="1" applyAlignment="1">
      <alignment horizontal="center"/>
    </xf>
    <xf numFmtId="14" fontId="4" fillId="0" borderId="56" xfId="1" quotePrefix="1" applyNumberFormat="1" applyFont="1" applyFill="1" applyBorder="1" applyAlignment="1">
      <alignment horizontal="center"/>
    </xf>
    <xf numFmtId="9" fontId="16" fillId="0" borderId="0" xfId="3" applyNumberFormat="1" applyFont="1" applyFill="1" applyBorder="1" applyAlignment="1">
      <alignment horizontal="center"/>
    </xf>
    <xf numFmtId="0" fontId="10" fillId="7" borderId="23" xfId="0" quotePrefix="1" applyNumberFormat="1" applyFont="1" applyFill="1" applyBorder="1" applyAlignment="1">
      <alignment horizontal="center"/>
    </xf>
    <xf numFmtId="2" fontId="6" fillId="3" borderId="16" xfId="1" quotePrefix="1" applyNumberFormat="1" applyFont="1" applyFill="1" applyBorder="1" applyAlignment="1">
      <alignment horizontal="center"/>
    </xf>
    <xf numFmtId="0" fontId="10" fillId="7" borderId="26" xfId="0" quotePrefix="1" applyNumberFormat="1" applyFont="1" applyFill="1" applyBorder="1" applyAlignment="1">
      <alignment horizontal="center"/>
    </xf>
    <xf numFmtId="0" fontId="10" fillId="7" borderId="27" xfId="1" quotePrefix="1" applyNumberFormat="1" applyFont="1" applyFill="1" applyBorder="1" applyAlignment="1">
      <alignment horizontal="center"/>
    </xf>
    <xf numFmtId="0" fontId="11" fillId="7" borderId="53" xfId="0" quotePrefix="1" applyNumberFormat="1" applyFont="1" applyFill="1" applyBorder="1" applyAlignment="1">
      <alignment horizontal="center"/>
    </xf>
    <xf numFmtId="0" fontId="11" fillId="7" borderId="24" xfId="1" quotePrefix="1" applyNumberFormat="1" applyFont="1" applyFill="1" applyBorder="1" applyAlignment="1">
      <alignment horizontal="center"/>
    </xf>
    <xf numFmtId="0" fontId="11" fillId="5" borderId="53" xfId="0" quotePrefix="1" applyNumberFormat="1" applyFont="1" applyFill="1" applyBorder="1" applyAlignment="1">
      <alignment horizontal="center"/>
    </xf>
    <xf numFmtId="0" fontId="10" fillId="5" borderId="23" xfId="0" quotePrefix="1" applyNumberFormat="1" applyFont="1" applyFill="1" applyBorder="1" applyAlignment="1">
      <alignment horizontal="center"/>
    </xf>
    <xf numFmtId="0" fontId="10" fillId="5" borderId="26" xfId="0" quotePrefix="1" applyNumberFormat="1" applyFont="1" applyFill="1" applyBorder="1" applyAlignment="1">
      <alignment horizontal="center"/>
    </xf>
    <xf numFmtId="0" fontId="10" fillId="5" borderId="27" xfId="1" quotePrefix="1" applyNumberFormat="1" applyFont="1" applyFill="1" applyBorder="1" applyAlignment="1">
      <alignment horizontal="center"/>
    </xf>
    <xf numFmtId="0" fontId="4" fillId="16" borderId="68" xfId="1" applyNumberFormat="1" applyFont="1" applyFill="1" applyBorder="1" applyAlignment="1">
      <alignment horizontal="center"/>
    </xf>
    <xf numFmtId="0" fontId="4" fillId="16" borderId="69" xfId="1" applyNumberFormat="1" applyFont="1" applyFill="1" applyBorder="1" applyAlignment="1">
      <alignment horizontal="center"/>
    </xf>
    <xf numFmtId="0" fontId="4" fillId="16" borderId="70" xfId="1" applyNumberFormat="1" applyFont="1" applyFill="1" applyBorder="1" applyAlignment="1">
      <alignment horizontal="center"/>
    </xf>
    <xf numFmtId="0" fontId="4" fillId="16" borderId="107" xfId="1" applyNumberFormat="1" applyFont="1" applyFill="1" applyBorder="1" applyAlignment="1">
      <alignment horizontal="center"/>
    </xf>
    <xf numFmtId="0" fontId="4" fillId="16" borderId="71" xfId="1" applyNumberFormat="1" applyFont="1" applyFill="1" applyBorder="1" applyAlignment="1">
      <alignment horizontal="center"/>
    </xf>
    <xf numFmtId="0" fontId="4" fillId="16" borderId="54" xfId="1" applyNumberFormat="1" applyFont="1" applyFill="1" applyBorder="1" applyAlignment="1">
      <alignment horizontal="center"/>
    </xf>
    <xf numFmtId="0" fontId="4" fillId="16" borderId="55" xfId="1" applyNumberFormat="1" applyFont="1" applyFill="1" applyBorder="1" applyAlignment="1">
      <alignment horizontal="center"/>
    </xf>
    <xf numFmtId="0" fontId="4" fillId="16" borderId="56" xfId="1" applyNumberFormat="1" applyFont="1" applyFill="1" applyBorder="1" applyAlignment="1">
      <alignment horizontal="center"/>
    </xf>
    <xf numFmtId="0" fontId="4" fillId="16" borderId="100" xfId="1" applyNumberFormat="1" applyFont="1" applyFill="1" applyBorder="1" applyAlignment="1">
      <alignment horizontal="center"/>
    </xf>
    <xf numFmtId="0" fontId="4" fillId="16" borderId="57" xfId="1" applyNumberFormat="1" applyFont="1" applyFill="1" applyBorder="1" applyAlignment="1">
      <alignment horizontal="center"/>
    </xf>
    <xf numFmtId="0" fontId="4" fillId="16" borderId="84" xfId="2" applyNumberFormat="1" applyFont="1" applyFill="1" applyBorder="1" applyAlignment="1">
      <alignment horizontal="center"/>
    </xf>
    <xf numFmtId="0" fontId="4" fillId="16" borderId="85" xfId="2" applyNumberFormat="1" applyFont="1" applyFill="1" applyBorder="1" applyAlignment="1">
      <alignment horizontal="center"/>
    </xf>
    <xf numFmtId="0" fontId="4" fillId="16" borderId="86" xfId="2" applyNumberFormat="1" applyFont="1" applyFill="1" applyBorder="1" applyAlignment="1">
      <alignment horizontal="center"/>
    </xf>
    <xf numFmtId="0" fontId="4" fillId="16" borderId="108" xfId="2" applyNumberFormat="1" applyFont="1" applyFill="1" applyBorder="1" applyAlignment="1">
      <alignment horizontal="center"/>
    </xf>
    <xf numFmtId="0" fontId="4" fillId="16" borderId="87" xfId="2" applyNumberFormat="1" applyFont="1" applyFill="1" applyBorder="1" applyAlignment="1">
      <alignment horizontal="center"/>
    </xf>
    <xf numFmtId="0" fontId="4" fillId="16" borderId="63" xfId="1" applyNumberFormat="1" applyFont="1" applyFill="1" applyBorder="1" applyAlignment="1">
      <alignment horizontal="center"/>
    </xf>
    <xf numFmtId="0" fontId="4" fillId="16" borderId="64" xfId="1" applyNumberFormat="1" applyFont="1" applyFill="1" applyBorder="1" applyAlignment="1">
      <alignment horizontal="center"/>
    </xf>
    <xf numFmtId="0" fontId="4" fillId="16" borderId="65" xfId="1" applyNumberFormat="1" applyFont="1" applyFill="1" applyBorder="1" applyAlignment="1">
      <alignment horizontal="center"/>
    </xf>
    <xf numFmtId="0" fontId="4" fillId="16" borderId="109" xfId="1" applyNumberFormat="1" applyFont="1" applyFill="1" applyBorder="1" applyAlignment="1">
      <alignment horizontal="center"/>
    </xf>
    <xf numFmtId="0" fontId="3" fillId="6" borderId="0" xfId="0" applyFont="1" applyFill="1"/>
    <xf numFmtId="44" fontId="3" fillId="6" borderId="0" xfId="1" applyFont="1" applyFill="1"/>
    <xf numFmtId="0" fontId="3" fillId="6" borderId="0" xfId="0" applyFont="1" applyFill="1" applyAlignment="1">
      <alignment horizontal="right" vertical="top"/>
    </xf>
    <xf numFmtId="0" fontId="14" fillId="0" borderId="0" xfId="0" applyFont="1" applyFill="1"/>
    <xf numFmtId="14" fontId="16" fillId="0" borderId="56" xfId="3" applyNumberFormat="1" applyFont="1" applyFill="1" applyBorder="1" applyAlignment="1">
      <alignment horizontal="center"/>
    </xf>
    <xf numFmtId="44" fontId="4" fillId="0" borderId="47" xfId="1" applyFont="1" applyFill="1" applyBorder="1" applyAlignment="1">
      <alignment horizontal="center"/>
    </xf>
    <xf numFmtId="44" fontId="6" fillId="11" borderId="41" xfId="1" applyFont="1" applyFill="1" applyBorder="1" applyAlignment="1">
      <alignment horizontal="center"/>
    </xf>
    <xf numFmtId="168" fontId="4" fillId="0" borderId="47" xfId="1" applyNumberFormat="1" applyFont="1" applyFill="1" applyBorder="1" applyAlignment="1">
      <alignment horizontal="center"/>
    </xf>
    <xf numFmtId="10" fontId="4" fillId="0" borderId="49" xfId="1" applyNumberFormat="1" applyFont="1" applyFill="1" applyBorder="1" applyAlignment="1">
      <alignment horizontal="center"/>
    </xf>
    <xf numFmtId="169" fontId="4" fillId="0" borderId="56" xfId="1" applyNumberFormat="1" applyFont="1" applyFill="1" applyBorder="1" applyAlignment="1">
      <alignment horizontal="center"/>
    </xf>
    <xf numFmtId="166" fontId="4" fillId="0" borderId="41" xfId="1" applyNumberFormat="1" applyFont="1" applyFill="1" applyBorder="1" applyAlignment="1">
      <alignment horizontal="center"/>
    </xf>
    <xf numFmtId="44" fontId="4" fillId="0" borderId="51" xfId="1" applyFont="1" applyFill="1" applyBorder="1" applyAlignment="1">
      <alignment horizontal="center"/>
    </xf>
    <xf numFmtId="0" fontId="4" fillId="0" borderId="72" xfId="0" applyFont="1" applyBorder="1"/>
    <xf numFmtId="0" fontId="14" fillId="0" borderId="0" xfId="0" applyFont="1" applyFill="1" applyAlignment="1"/>
    <xf numFmtId="0" fontId="14" fillId="0" borderId="0" xfId="0" applyFont="1" applyFill="1" applyBorder="1"/>
    <xf numFmtId="42" fontId="9" fillId="2" borderId="2" xfId="1" applyNumberFormat="1" applyFont="1" applyFill="1" applyBorder="1" applyAlignment="1">
      <alignment horizontal="center" wrapText="1"/>
    </xf>
    <xf numFmtId="164" fontId="4" fillId="16" borderId="111" xfId="1" applyNumberFormat="1" applyFont="1" applyFill="1" applyBorder="1" applyAlignment="1">
      <alignment horizontal="center"/>
    </xf>
    <xf numFmtId="164" fontId="4" fillId="16" borderId="9" xfId="1" applyNumberFormat="1" applyFont="1" applyFill="1" applyBorder="1" applyAlignment="1">
      <alignment horizontal="center"/>
    </xf>
    <xf numFmtId="164" fontId="4" fillId="16" borderId="49" xfId="1" applyNumberFormat="1" applyFont="1" applyFill="1" applyBorder="1" applyAlignment="1">
      <alignment horizontal="center"/>
    </xf>
    <xf numFmtId="164" fontId="11" fillId="7" borderId="26" xfId="1" quotePrefix="1" applyNumberFormat="1" applyFont="1" applyFill="1" applyBorder="1" applyAlignment="1">
      <alignment horizontal="center"/>
    </xf>
    <xf numFmtId="164" fontId="11" fillId="5" borderId="26" xfId="1" quotePrefix="1" applyNumberFormat="1" applyFont="1" applyFill="1" applyBorder="1" applyAlignment="1">
      <alignment horizontal="center"/>
    </xf>
    <xf numFmtId="0" fontId="11" fillId="4" borderId="26" xfId="1" quotePrefix="1" applyNumberFormat="1" applyFont="1" applyFill="1" applyBorder="1" applyAlignment="1">
      <alignment horizontal="center"/>
    </xf>
    <xf numFmtId="164" fontId="4" fillId="16" borderId="104" xfId="1" applyNumberFormat="1" applyFont="1" applyFill="1" applyBorder="1" applyAlignment="1">
      <alignment horizontal="center"/>
    </xf>
    <xf numFmtId="164" fontId="4" fillId="16" borderId="17" xfId="1" applyNumberFormat="1" applyFont="1" applyFill="1" applyBorder="1" applyAlignment="1">
      <alignment horizontal="center"/>
    </xf>
    <xf numFmtId="164" fontId="4" fillId="16" borderId="21" xfId="1" applyNumberFormat="1" applyFont="1" applyFill="1" applyBorder="1" applyAlignment="1">
      <alignment horizontal="center"/>
    </xf>
    <xf numFmtId="164" fontId="6" fillId="3" borderId="73" xfId="1" applyNumberFormat="1" applyFont="1" applyFill="1" applyBorder="1" applyAlignment="1">
      <alignment horizontal="center"/>
    </xf>
    <xf numFmtId="0" fontId="4" fillId="17" borderId="54" xfId="0" applyNumberFormat="1" applyFont="1" applyFill="1" applyBorder="1" applyAlignment="1">
      <alignment horizontal="center"/>
    </xf>
    <xf numFmtId="0" fontId="4" fillId="17" borderId="19" xfId="1" applyNumberFormat="1" applyFont="1" applyFill="1" applyBorder="1" applyAlignment="1">
      <alignment horizontal="center"/>
    </xf>
    <xf numFmtId="0" fontId="4" fillId="17" borderId="4" xfId="1" applyNumberFormat="1" applyFont="1" applyFill="1" applyBorder="1" applyAlignment="1">
      <alignment horizontal="center"/>
    </xf>
    <xf numFmtId="0" fontId="4" fillId="17" borderId="48" xfId="1" applyNumberFormat="1" applyFont="1" applyFill="1" applyBorder="1" applyAlignment="1">
      <alignment horizontal="center"/>
    </xf>
    <xf numFmtId="0" fontId="16" fillId="17" borderId="4" xfId="3" applyNumberFormat="1" applyFont="1" applyFill="1" applyBorder="1" applyAlignment="1">
      <alignment horizontal="center"/>
    </xf>
    <xf numFmtId="0" fontId="4" fillId="17" borderId="55" xfId="0" applyNumberFormat="1" applyFont="1" applyFill="1" applyBorder="1" applyAlignment="1">
      <alignment horizontal="center"/>
    </xf>
    <xf numFmtId="0" fontId="4" fillId="17" borderId="57" xfId="0" applyNumberFormat="1" applyFont="1" applyFill="1" applyBorder="1" applyAlignment="1">
      <alignment horizontal="center"/>
    </xf>
    <xf numFmtId="168" fontId="4" fillId="0" borderId="96" xfId="0" applyNumberFormat="1" applyFont="1" applyFill="1" applyBorder="1" applyAlignment="1">
      <alignment horizontal="center"/>
    </xf>
    <xf numFmtId="10" fontId="4" fillId="0" borderId="112" xfId="0" applyNumberFormat="1" applyFont="1" applyFill="1" applyBorder="1" applyAlignment="1">
      <alignment horizontal="center"/>
    </xf>
    <xf numFmtId="169" fontId="4" fillId="0" borderId="113" xfId="0" applyNumberFormat="1" applyFont="1" applyFill="1" applyBorder="1" applyAlignment="1">
      <alignment horizontal="center"/>
    </xf>
    <xf numFmtId="166" fontId="4" fillId="0" borderId="114" xfId="0" applyNumberFormat="1" applyFont="1" applyFill="1" applyBorder="1" applyAlignment="1">
      <alignment horizontal="center"/>
    </xf>
    <xf numFmtId="44" fontId="4" fillId="0" borderId="115" xfId="0" applyNumberFormat="1" applyFont="1" applyFill="1" applyBorder="1" applyAlignment="1">
      <alignment horizontal="center"/>
    </xf>
    <xf numFmtId="44" fontId="4" fillId="0" borderId="113" xfId="0" applyNumberFormat="1" applyFont="1" applyFill="1" applyBorder="1" applyAlignment="1">
      <alignment horizontal="center"/>
    </xf>
    <xf numFmtId="44" fontId="6" fillId="11" borderId="1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0" fontId="4" fillId="0" borderId="9" xfId="0" applyNumberFormat="1" applyFont="1" applyFill="1" applyBorder="1" applyAlignment="1">
      <alignment horizontal="center"/>
    </xf>
    <xf numFmtId="169" fontId="4" fillId="0" borderId="5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44" fontId="4" fillId="0" borderId="6" xfId="0" applyNumberFormat="1" applyFont="1" applyFill="1" applyBorder="1" applyAlignment="1">
      <alignment horizontal="center"/>
    </xf>
    <xf numFmtId="44" fontId="6" fillId="11" borderId="31" xfId="0" applyNumberFormat="1" applyFont="1" applyFill="1" applyBorder="1" applyAlignment="1">
      <alignment horizontal="center"/>
    </xf>
    <xf numFmtId="168" fontId="4" fillId="0" borderId="47" xfId="0" applyNumberFormat="1" applyFont="1" applyFill="1" applyBorder="1" applyAlignment="1">
      <alignment horizontal="center"/>
    </xf>
    <xf numFmtId="10" fontId="4" fillId="0" borderId="49" xfId="0" applyNumberFormat="1" applyFont="1" applyFill="1" applyBorder="1" applyAlignment="1">
      <alignment horizontal="center"/>
    </xf>
    <xf numFmtId="169" fontId="4" fillId="0" borderId="56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44" fontId="4" fillId="0" borderId="51" xfId="0" applyNumberFormat="1" applyFont="1" applyFill="1" applyBorder="1" applyAlignment="1">
      <alignment horizontal="center"/>
    </xf>
    <xf numFmtId="44" fontId="4" fillId="0" borderId="56" xfId="0" applyNumberFormat="1" applyFont="1" applyFill="1" applyBorder="1" applyAlignment="1">
      <alignment horizontal="center"/>
    </xf>
    <xf numFmtId="44" fontId="6" fillId="11" borderId="41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3" fontId="8" fillId="2" borderId="3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 wrapText="1"/>
    </xf>
    <xf numFmtId="3" fontId="9" fillId="2" borderId="60" xfId="0" applyNumberFormat="1" applyFont="1" applyFill="1" applyBorder="1" applyAlignment="1">
      <alignment horizontal="center" wrapText="1"/>
    </xf>
    <xf numFmtId="3" fontId="9" fillId="2" borderId="59" xfId="0" applyNumberFormat="1" applyFont="1" applyFill="1" applyBorder="1" applyAlignment="1">
      <alignment horizontal="center" wrapText="1"/>
    </xf>
    <xf numFmtId="0" fontId="11" fillId="4" borderId="25" xfId="2" quotePrefix="1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4" fillId="0" borderId="51" xfId="2" applyNumberFormat="1" applyFont="1" applyFill="1" applyBorder="1" applyAlignment="1">
      <alignment horizontal="center"/>
    </xf>
    <xf numFmtId="0" fontId="11" fillId="7" borderId="25" xfId="2" quotePrefix="1" applyNumberFormat="1" applyFont="1" applyFill="1" applyBorder="1" applyAlignment="1">
      <alignment horizontal="center"/>
    </xf>
    <xf numFmtId="0" fontId="4" fillId="0" borderId="105" xfId="2" applyNumberFormat="1" applyFont="1" applyFill="1" applyBorder="1" applyAlignment="1">
      <alignment horizontal="center"/>
    </xf>
    <xf numFmtId="0" fontId="11" fillId="6" borderId="25" xfId="2" quotePrefix="1" applyNumberFormat="1" applyFont="1" applyFill="1" applyBorder="1" applyAlignment="1">
      <alignment horizontal="center"/>
    </xf>
    <xf numFmtId="0" fontId="11" fillId="5" borderId="25" xfId="2" quotePrefix="1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wrapText="1"/>
    </xf>
    <xf numFmtId="0" fontId="11" fillId="4" borderId="62" xfId="2" quotePrefix="1" applyNumberFormat="1" applyFont="1" applyFill="1" applyBorder="1" applyAlignment="1">
      <alignment horizontal="center"/>
    </xf>
    <xf numFmtId="0" fontId="11" fillId="7" borderId="62" xfId="2" quotePrefix="1" applyNumberFormat="1" applyFont="1" applyFill="1" applyBorder="1" applyAlignment="1">
      <alignment horizontal="center"/>
    </xf>
    <xf numFmtId="0" fontId="11" fillId="6" borderId="62" xfId="2" quotePrefix="1" applyNumberFormat="1" applyFont="1" applyFill="1" applyBorder="1" applyAlignment="1">
      <alignment horizontal="center"/>
    </xf>
    <xf numFmtId="0" fontId="11" fillId="5" borderId="62" xfId="2" quotePrefix="1" applyNumberFormat="1" applyFont="1" applyFill="1" applyBorder="1" applyAlignment="1">
      <alignment horizontal="center"/>
    </xf>
    <xf numFmtId="0" fontId="6" fillId="3" borderId="61" xfId="2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 wrapText="1"/>
    </xf>
    <xf numFmtId="0" fontId="11" fillId="7" borderId="29" xfId="1" quotePrefix="1" applyNumberFormat="1" applyFont="1" applyFill="1" applyBorder="1" applyAlignment="1">
      <alignment horizontal="center"/>
    </xf>
    <xf numFmtId="0" fontId="11" fillId="6" borderId="29" xfId="1" quotePrefix="1" applyNumberFormat="1" applyFont="1" applyFill="1" applyBorder="1" applyAlignment="1">
      <alignment horizontal="center"/>
    </xf>
    <xf numFmtId="0" fontId="11" fillId="5" borderId="29" xfId="1" quotePrefix="1" applyNumberFormat="1" applyFont="1" applyFill="1" applyBorder="1" applyAlignment="1">
      <alignment horizontal="center"/>
    </xf>
    <xf numFmtId="0" fontId="4" fillId="0" borderId="90" xfId="1" applyNumberFormat="1" applyFont="1" applyFill="1" applyBorder="1" applyAlignment="1">
      <alignment horizontal="center"/>
    </xf>
    <xf numFmtId="0" fontId="4" fillId="0" borderId="31" xfId="1" applyNumberFormat="1" applyFont="1" applyFill="1" applyBorder="1" applyAlignment="1">
      <alignment horizontal="center"/>
    </xf>
    <xf numFmtId="0" fontId="4" fillId="0" borderId="40" xfId="1" applyNumberFormat="1" applyFont="1" applyFill="1" applyBorder="1" applyAlignment="1">
      <alignment horizontal="center"/>
    </xf>
    <xf numFmtId="0" fontId="4" fillId="16" borderId="88" xfId="2" applyNumberFormat="1" applyFont="1" applyFill="1" applyBorder="1" applyAlignment="1">
      <alignment horizontal="center"/>
    </xf>
    <xf numFmtId="0" fontId="4" fillId="16" borderId="64" xfId="2" applyNumberFormat="1" applyFont="1" applyFill="1" applyBorder="1" applyAlignment="1">
      <alignment horizontal="center"/>
    </xf>
    <xf numFmtId="0" fontId="4" fillId="16" borderId="65" xfId="2" applyNumberFormat="1" applyFont="1" applyFill="1" applyBorder="1" applyAlignment="1">
      <alignment horizontal="center"/>
    </xf>
    <xf numFmtId="0" fontId="4" fillId="16" borderId="109" xfId="2" applyNumberFormat="1" applyFont="1" applyFill="1" applyBorder="1" applyAlignment="1">
      <alignment horizontal="center"/>
    </xf>
    <xf numFmtId="0" fontId="4" fillId="16" borderId="63" xfId="2" applyNumberFormat="1" applyFont="1" applyFill="1" applyBorder="1" applyAlignment="1">
      <alignment horizontal="center"/>
    </xf>
    <xf numFmtId="42" fontId="9" fillId="2" borderId="60" xfId="1" applyNumberFormat="1" applyFont="1" applyFill="1" applyBorder="1" applyAlignment="1">
      <alignment horizontal="center" wrapText="1"/>
    </xf>
    <xf numFmtId="42" fontId="9" fillId="2" borderId="3" xfId="1" applyNumberFormat="1" applyFont="1" applyFill="1" applyBorder="1" applyAlignment="1">
      <alignment horizontal="center" wrapText="1"/>
    </xf>
    <xf numFmtId="170" fontId="30" fillId="2" borderId="3" xfId="1" applyNumberFormat="1" applyFont="1" applyFill="1" applyBorder="1" applyAlignment="1">
      <alignment horizontal="center" vertical="center"/>
    </xf>
    <xf numFmtId="44" fontId="4" fillId="18" borderId="93" xfId="1" applyNumberFormat="1" applyFont="1" applyFill="1" applyBorder="1" applyAlignment="1">
      <alignment horizontal="center"/>
    </xf>
    <xf numFmtId="44" fontId="4" fillId="18" borderId="19" xfId="1" applyNumberFormat="1" applyFont="1" applyFill="1" applyBorder="1" applyAlignment="1">
      <alignment horizontal="center"/>
    </xf>
    <xf numFmtId="44" fontId="16" fillId="18" borderId="94" xfId="3" applyNumberFormat="1" applyFont="1" applyFill="1" applyBorder="1" applyAlignment="1">
      <alignment horizontal="center"/>
    </xf>
    <xf numFmtId="44" fontId="16" fillId="18" borderId="4" xfId="3" applyNumberFormat="1" applyFont="1" applyFill="1" applyBorder="1" applyAlignment="1">
      <alignment horizontal="center"/>
    </xf>
    <xf numFmtId="44" fontId="16" fillId="18" borderId="95" xfId="3" applyNumberFormat="1" applyFont="1" applyFill="1" applyBorder="1" applyAlignment="1">
      <alignment horizontal="center"/>
    </xf>
    <xf numFmtId="44" fontId="16" fillId="18" borderId="48" xfId="3" applyNumberFormat="1" applyFont="1" applyFill="1" applyBorder="1" applyAlignment="1">
      <alignment horizontal="center"/>
    </xf>
    <xf numFmtId="44" fontId="4" fillId="18" borderId="101" xfId="1" quotePrefix="1" applyFont="1" applyFill="1" applyBorder="1" applyAlignment="1">
      <alignment horizontal="center"/>
    </xf>
    <xf numFmtId="44" fontId="4" fillId="18" borderId="48" xfId="1" applyNumberFormat="1" applyFont="1" applyFill="1" applyBorder="1" applyAlignment="1">
      <alignment horizontal="center"/>
    </xf>
    <xf numFmtId="44" fontId="4" fillId="18" borderId="94" xfId="1" applyNumberFormat="1" applyFont="1" applyFill="1" applyBorder="1" applyAlignment="1">
      <alignment horizontal="center"/>
    </xf>
    <xf numFmtId="44" fontId="4" fillId="18" borderId="4" xfId="1" applyNumberFormat="1" applyFont="1" applyFill="1" applyBorder="1" applyAlignment="1">
      <alignment horizontal="center"/>
    </xf>
    <xf numFmtId="44" fontId="4" fillId="18" borderId="95" xfId="1" applyNumberFormat="1" applyFont="1" applyFill="1" applyBorder="1" applyAlignment="1">
      <alignment horizontal="center"/>
    </xf>
    <xf numFmtId="44" fontId="4" fillId="10" borderId="103" xfId="1" quotePrefix="1" applyFont="1" applyFill="1" applyBorder="1" applyAlignment="1">
      <alignment horizontal="center"/>
    </xf>
    <xf numFmtId="0" fontId="32" fillId="0" borderId="0" xfId="0" applyFont="1" applyBorder="1"/>
    <xf numFmtId="42" fontId="32" fillId="0" borderId="0" xfId="1" applyNumberFormat="1" applyFont="1" applyFill="1" applyBorder="1" applyAlignment="1">
      <alignment horizontal="center"/>
    </xf>
    <xf numFmtId="42" fontId="32" fillId="0" borderId="0" xfId="1" applyNumberFormat="1" applyFont="1" applyBorder="1" applyAlignment="1">
      <alignment horizontal="center"/>
    </xf>
    <xf numFmtId="42" fontId="31" fillId="2" borderId="2" xfId="1" applyNumberFormat="1" applyFont="1" applyFill="1" applyBorder="1" applyAlignment="1">
      <alignment horizontal="center" wrapText="1"/>
    </xf>
    <xf numFmtId="42" fontId="33" fillId="4" borderId="25" xfId="1" quotePrefix="1" applyNumberFormat="1" applyFont="1" applyFill="1" applyBorder="1" applyAlignment="1">
      <alignment horizontal="center"/>
    </xf>
    <xf numFmtId="44" fontId="34" fillId="17" borderId="20" xfId="1" applyNumberFormat="1" applyFont="1" applyFill="1" applyBorder="1" applyAlignment="1">
      <alignment horizontal="center"/>
    </xf>
    <xf numFmtId="44" fontId="35" fillId="17" borderId="6" xfId="3" applyNumberFormat="1" applyFont="1" applyFill="1" applyBorder="1" applyAlignment="1">
      <alignment horizontal="center"/>
    </xf>
    <xf numFmtId="44" fontId="35" fillId="17" borderId="51" xfId="3" applyNumberFormat="1" applyFont="1" applyFill="1" applyBorder="1" applyAlignment="1">
      <alignment horizontal="center"/>
    </xf>
    <xf numFmtId="44" fontId="33" fillId="7" borderId="25" xfId="1" quotePrefix="1" applyNumberFormat="1" applyFont="1" applyFill="1" applyBorder="1" applyAlignment="1">
      <alignment horizontal="center"/>
    </xf>
    <xf numFmtId="44" fontId="34" fillId="17" borderId="2" xfId="1" applyNumberFormat="1" applyFont="1" applyFill="1" applyBorder="1" applyAlignment="1">
      <alignment horizontal="center"/>
    </xf>
    <xf numFmtId="42" fontId="33" fillId="6" borderId="25" xfId="1" quotePrefix="1" applyNumberFormat="1" applyFont="1" applyFill="1" applyBorder="1" applyAlignment="1">
      <alignment horizontal="center"/>
    </xf>
    <xf numFmtId="44" fontId="34" fillId="17" borderId="6" xfId="1" applyNumberFormat="1" applyFont="1" applyFill="1" applyBorder="1" applyAlignment="1">
      <alignment horizontal="center"/>
    </xf>
    <xf numFmtId="44" fontId="34" fillId="17" borderId="51" xfId="1" applyNumberFormat="1" applyFont="1" applyFill="1" applyBorder="1" applyAlignment="1">
      <alignment horizontal="center"/>
    </xf>
    <xf numFmtId="44" fontId="33" fillId="5" borderId="25" xfId="1" quotePrefix="1" applyNumberFormat="1" applyFont="1" applyFill="1" applyBorder="1" applyAlignment="1">
      <alignment horizontal="center"/>
    </xf>
    <xf numFmtId="42" fontId="31" fillId="2" borderId="116" xfId="1" applyNumberFormat="1" applyFont="1" applyFill="1" applyBorder="1" applyAlignment="1">
      <alignment horizontal="center" wrapText="1"/>
    </xf>
    <xf numFmtId="42" fontId="33" fillId="4" borderId="24" xfId="1" quotePrefix="1" applyNumberFormat="1" applyFont="1" applyFill="1" applyBorder="1" applyAlignment="1">
      <alignment horizontal="center"/>
    </xf>
    <xf numFmtId="44" fontId="34" fillId="17" borderId="19" xfId="1" applyNumberFormat="1" applyFont="1" applyFill="1" applyBorder="1" applyAlignment="1">
      <alignment horizontal="center"/>
    </xf>
    <xf numFmtId="44" fontId="35" fillId="17" borderId="4" xfId="3" applyNumberFormat="1" applyFont="1" applyFill="1" applyBorder="1" applyAlignment="1">
      <alignment horizontal="center"/>
    </xf>
    <xf numFmtId="44" fontId="35" fillId="17" borderId="48" xfId="3" applyNumberFormat="1" applyFont="1" applyFill="1" applyBorder="1" applyAlignment="1">
      <alignment horizontal="center"/>
    </xf>
    <xf numFmtId="44" fontId="33" fillId="7" borderId="24" xfId="1" quotePrefix="1" applyNumberFormat="1" applyFont="1" applyFill="1" applyBorder="1" applyAlignment="1">
      <alignment horizontal="center"/>
    </xf>
    <xf numFmtId="44" fontId="34" fillId="17" borderId="116" xfId="1" applyNumberFormat="1" applyFont="1" applyFill="1" applyBorder="1" applyAlignment="1">
      <alignment horizontal="center"/>
    </xf>
    <xf numFmtId="42" fontId="33" fillId="6" borderId="24" xfId="1" quotePrefix="1" applyNumberFormat="1" applyFont="1" applyFill="1" applyBorder="1" applyAlignment="1">
      <alignment horizontal="center"/>
    </xf>
    <xf numFmtId="44" fontId="34" fillId="17" borderId="4" xfId="1" applyNumberFormat="1" applyFont="1" applyFill="1" applyBorder="1" applyAlignment="1">
      <alignment horizontal="center"/>
    </xf>
    <xf numFmtId="44" fontId="34" fillId="17" borderId="48" xfId="1" applyNumberFormat="1" applyFont="1" applyFill="1" applyBorder="1" applyAlignment="1">
      <alignment horizontal="center"/>
    </xf>
    <xf numFmtId="44" fontId="33" fillId="5" borderId="24" xfId="1" quotePrefix="1" applyNumberFormat="1" applyFont="1" applyFill="1" applyBorder="1" applyAlignment="1">
      <alignment horizontal="center"/>
    </xf>
    <xf numFmtId="44" fontId="35" fillId="0" borderId="25" xfId="0" applyNumberFormat="1" applyFont="1" applyFill="1" applyBorder="1"/>
    <xf numFmtId="44" fontId="35" fillId="0" borderId="24" xfId="0" applyNumberFormat="1" applyFont="1" applyFill="1" applyBorder="1"/>
    <xf numFmtId="44" fontId="35" fillId="0" borderId="20" xfId="0" applyNumberFormat="1" applyFont="1" applyBorder="1"/>
    <xf numFmtId="44" fontId="35" fillId="0" borderId="56" xfId="1" applyFont="1" applyBorder="1"/>
    <xf numFmtId="44" fontId="35" fillId="0" borderId="48" xfId="1" applyFont="1" applyBorder="1"/>
    <xf numFmtId="44" fontId="36" fillId="3" borderId="7" xfId="1" quotePrefix="1" applyFont="1" applyFill="1" applyBorder="1" applyAlignment="1">
      <alignment horizontal="center"/>
    </xf>
    <xf numFmtId="44" fontId="36" fillId="3" borderId="5" xfId="1" quotePrefix="1" applyNumberFormat="1" applyFont="1" applyFill="1" applyBorder="1" applyAlignment="1">
      <alignment horizontal="center"/>
    </xf>
    <xf numFmtId="44" fontId="35" fillId="0" borderId="0" xfId="1" applyFont="1"/>
    <xf numFmtId="44" fontId="32" fillId="15" borderId="0" xfId="1" applyFont="1" applyFill="1"/>
    <xf numFmtId="0" fontId="32" fillId="15" borderId="0" xfId="0" applyFont="1" applyFill="1" applyAlignment="1">
      <alignment horizontal="right"/>
    </xf>
    <xf numFmtId="7" fontId="35" fillId="0" borderId="19" xfId="0" applyNumberFormat="1" applyFont="1" applyBorder="1"/>
    <xf numFmtId="0" fontId="3" fillId="6" borderId="0" xfId="0" applyFont="1" applyFill="1" applyAlignment="1">
      <alignment horizontal="right" vertical="top"/>
    </xf>
    <xf numFmtId="3" fontId="8" fillId="2" borderId="36" xfId="0" applyNumberFormat="1" applyFont="1" applyFill="1" applyBorder="1" applyAlignment="1">
      <alignment horizontal="left"/>
    </xf>
    <xf numFmtId="3" fontId="8" fillId="2" borderId="38" xfId="0" applyNumberFormat="1" applyFont="1" applyFill="1" applyBorder="1" applyAlignment="1">
      <alignment horizontal="left"/>
    </xf>
    <xf numFmtId="3" fontId="8" fillId="2" borderId="37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42" fontId="8" fillId="14" borderId="36" xfId="1" applyNumberFormat="1" applyFont="1" applyFill="1" applyBorder="1" applyAlignment="1">
      <alignment horizontal="left"/>
    </xf>
    <xf numFmtId="42" fontId="8" fillId="14" borderId="38" xfId="1" applyNumberFormat="1" applyFont="1" applyFill="1" applyBorder="1" applyAlignment="1">
      <alignment horizontal="left"/>
    </xf>
    <xf numFmtId="42" fontId="8" fillId="14" borderId="37" xfId="1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0" fontId="14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vertical="center"/>
    </xf>
    <xf numFmtId="42" fontId="8" fillId="2" borderId="91" xfId="1" applyNumberFormat="1" applyFont="1" applyFill="1" applyBorder="1" applyAlignment="1">
      <alignment horizontal="left"/>
    </xf>
    <xf numFmtId="42" fontId="8" fillId="2" borderId="33" xfId="1" applyNumberFormat="1" applyFont="1" applyFill="1" applyBorder="1" applyAlignment="1">
      <alignment horizontal="left"/>
    </xf>
    <xf numFmtId="42" fontId="8" fillId="2" borderId="58" xfId="1" applyNumberFormat="1" applyFont="1" applyFill="1" applyBorder="1" applyAlignment="1">
      <alignment horizontal="left"/>
    </xf>
    <xf numFmtId="42" fontId="8" fillId="2" borderId="39" xfId="1" applyNumberFormat="1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3" fontId="8" fillId="2" borderId="33" xfId="0" applyNumberFormat="1" applyFont="1" applyFill="1" applyBorder="1" applyAlignment="1">
      <alignment horizontal="left"/>
    </xf>
    <xf numFmtId="3" fontId="8" fillId="2" borderId="39" xfId="0" applyNumberFormat="1" applyFont="1" applyFill="1" applyBorder="1" applyAlignment="1">
      <alignment horizontal="left"/>
    </xf>
    <xf numFmtId="3" fontId="8" fillId="2" borderId="35" xfId="0" applyNumberFormat="1" applyFont="1" applyFill="1" applyBorder="1" applyAlignment="1">
      <alignment horizontal="left"/>
    </xf>
  </cellXfs>
  <cellStyles count="6">
    <cellStyle name="Měna" xfId="1" builtinId="4"/>
    <cellStyle name="Normální" xfId="0" builtinId="0"/>
    <cellStyle name="Normální 2" xfId="4"/>
    <cellStyle name="Normální 2 2" xfId="5"/>
    <cellStyle name="Procenta" xfId="2" builtinId="5"/>
    <cellStyle name="Zvýraznění 6" xfId="3" builtinId="4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555072</xdr:colOff>
      <xdr:row>2</xdr:row>
      <xdr:rowOff>247650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27" t="16045" r="20867" b="11748"/>
        <a:stretch/>
      </xdr:blipFill>
      <xdr:spPr>
        <a:xfrm>
          <a:off x="9525" y="38101"/>
          <a:ext cx="545547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47"/>
  <sheetViews>
    <sheetView showGridLines="0" tabSelected="1" topLeftCell="B1" zoomScaleNormal="100" zoomScaleSheetLayoutView="80" workbookViewId="0">
      <pane xSplit="2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H3" sqref="H3"/>
    </sheetView>
  </sheetViews>
  <sheetFormatPr defaultRowHeight="12.75" x14ac:dyDescent="0.2"/>
  <cols>
    <col min="1" max="1" width="7.28515625" hidden="1" customWidth="1"/>
    <col min="2" max="2" width="9.7109375" bestFit="1" customWidth="1"/>
    <col min="3" max="3" width="26.28515625" customWidth="1"/>
    <col min="4" max="4" width="16.140625" bestFit="1" customWidth="1"/>
    <col min="5" max="5" width="16.140625" customWidth="1"/>
    <col min="6" max="6" width="12.28515625" customWidth="1"/>
    <col min="7" max="7" width="11.140625" customWidth="1"/>
    <col min="8" max="8" width="16.140625" customWidth="1"/>
    <col min="9" max="9" width="1.42578125" style="1" customWidth="1"/>
    <col min="10" max="10" width="11.7109375" customWidth="1"/>
    <col min="11" max="11" width="14.42578125" customWidth="1"/>
    <col min="12" max="12" width="19.5703125" customWidth="1"/>
    <col min="13" max="13" width="11.85546875" customWidth="1"/>
    <col min="14" max="14" width="6.7109375" style="1" customWidth="1"/>
    <col min="15" max="15" width="12.7109375" style="1" customWidth="1"/>
    <col min="16" max="16" width="9.7109375" style="1" customWidth="1"/>
    <col min="17" max="17" width="14.5703125" customWidth="1"/>
    <col min="18" max="18" width="13.7109375" customWidth="1"/>
    <col min="19" max="19" width="7" customWidth="1"/>
    <col min="20" max="20" width="13.140625" style="1" customWidth="1"/>
    <col min="21" max="21" width="9.7109375" style="1" customWidth="1"/>
    <col min="22" max="22" width="1.42578125" style="1" customWidth="1"/>
    <col min="23" max="23" width="17.28515625" customWidth="1"/>
    <col min="24" max="24" width="13.42578125" customWidth="1"/>
    <col min="25" max="25" width="15" customWidth="1"/>
    <col min="26" max="26" width="15.140625" customWidth="1"/>
    <col min="27" max="27" width="1.42578125" style="1" customWidth="1"/>
    <col min="28" max="28" width="11.42578125" customWidth="1"/>
    <col min="29" max="29" width="17.28515625" customWidth="1"/>
    <col min="30" max="30" width="19.42578125" customWidth="1"/>
    <col min="31" max="31" width="18" customWidth="1"/>
    <col min="32" max="32" width="17.28515625" customWidth="1"/>
    <col min="33" max="33" width="13.7109375" customWidth="1"/>
    <col min="34" max="34" width="14.85546875" customWidth="1"/>
    <col min="35" max="35" width="15.140625" customWidth="1"/>
    <col min="36" max="36" width="1.42578125" customWidth="1"/>
    <col min="37" max="37" width="10.5703125" customWidth="1"/>
    <col min="38" max="38" width="12.85546875" customWidth="1"/>
    <col min="39" max="39" width="10.7109375" customWidth="1"/>
    <col min="40" max="40" width="8.85546875" customWidth="1"/>
    <col min="41" max="41" width="11.7109375" customWidth="1"/>
    <col min="42" max="43" width="11.7109375" style="1" customWidth="1"/>
    <col min="44" max="44" width="1.42578125" customWidth="1"/>
    <col min="45" max="46" width="5.7109375" customWidth="1"/>
    <col min="47" max="47" width="12.28515625" customWidth="1"/>
    <col min="48" max="48" width="11.7109375" customWidth="1"/>
    <col min="49" max="49" width="1.42578125" customWidth="1"/>
    <col min="50" max="51" width="5.7109375" style="1" customWidth="1"/>
    <col min="52" max="53" width="10.7109375" style="1" customWidth="1"/>
    <col min="54" max="54" width="9.28515625" style="1" customWidth="1"/>
    <col min="55" max="55" width="9.7109375" style="1" customWidth="1"/>
    <col min="56" max="56" width="1.42578125" customWidth="1"/>
    <col min="57" max="57" width="11.5703125" customWidth="1"/>
    <col min="58" max="58" width="12.7109375" customWidth="1"/>
    <col min="59" max="59" width="12" customWidth="1"/>
    <col min="60" max="60" width="13.7109375" style="1" customWidth="1"/>
    <col min="61" max="61" width="11.7109375" style="1" customWidth="1"/>
    <col min="62" max="62" width="12.7109375" style="1" customWidth="1"/>
    <col min="63" max="63" width="11.7109375" style="1" customWidth="1"/>
    <col min="64" max="64" width="13.85546875" style="1" customWidth="1"/>
    <col min="65" max="65" width="11.5703125" style="1" customWidth="1"/>
    <col min="66" max="66" width="14.28515625" style="1" bestFit="1" customWidth="1"/>
    <col min="67" max="67" width="14.42578125" style="1" bestFit="1" customWidth="1"/>
    <col min="68" max="68" width="1.42578125" customWidth="1"/>
    <col min="69" max="74" width="11.7109375" style="1" customWidth="1"/>
    <col min="75" max="75" width="1.42578125" customWidth="1"/>
    <col min="76" max="76" width="11.28515625" style="1" customWidth="1"/>
    <col min="77" max="77" width="13" style="1" customWidth="1"/>
    <col min="78" max="78" width="10.5703125" style="1" customWidth="1"/>
    <col min="79" max="79" width="11.85546875" style="1" customWidth="1"/>
    <col min="80" max="80" width="1.42578125" customWidth="1"/>
    <col min="81" max="81" width="13" style="1" customWidth="1"/>
    <col min="82" max="82" width="11.42578125" style="1" customWidth="1"/>
    <col min="83" max="83" width="14.7109375" style="1" customWidth="1"/>
    <col min="84" max="84" width="9.7109375" style="1" customWidth="1"/>
    <col min="85" max="85" width="6.85546875" style="1" customWidth="1"/>
    <col min="86" max="86" width="10.5703125" style="1" customWidth="1"/>
  </cols>
  <sheetData>
    <row r="1" spans="2:86" s="2" customFormat="1" ht="36" x14ac:dyDescent="0.2">
      <c r="B1" s="10"/>
      <c r="C1" s="519" t="s">
        <v>112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3"/>
      <c r="Y1" s="13"/>
      <c r="Z1" s="13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1"/>
      <c r="AM1" s="11"/>
      <c r="AN1" s="11"/>
      <c r="AO1" s="11"/>
      <c r="AR1" s="13"/>
      <c r="AS1" s="13"/>
      <c r="AT1" s="13"/>
      <c r="AU1" s="13"/>
      <c r="AV1" s="13"/>
      <c r="AW1" s="13"/>
      <c r="BD1" s="13"/>
      <c r="BE1" s="11"/>
      <c r="BF1" s="11"/>
      <c r="BG1" s="11"/>
      <c r="BP1" s="13"/>
      <c r="BW1" s="13"/>
      <c r="CB1" s="13"/>
    </row>
    <row r="2" spans="2:86" s="2" customFormat="1" ht="6.2" customHeight="1" x14ac:dyDescent="0.25">
      <c r="B2" s="10"/>
      <c r="C2" s="1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4"/>
      <c r="X2" s="4"/>
      <c r="Y2" s="4"/>
      <c r="Z2" s="4"/>
      <c r="AA2" s="15"/>
      <c r="AB2" s="4"/>
      <c r="AC2" s="4"/>
      <c r="AD2" s="4"/>
      <c r="AE2" s="4"/>
      <c r="AF2" s="4"/>
      <c r="AG2" s="4"/>
      <c r="AH2" s="4"/>
      <c r="AI2" s="4"/>
      <c r="AJ2" s="4"/>
      <c r="AK2" s="4"/>
      <c r="AL2" s="14"/>
      <c r="AM2" s="14"/>
      <c r="AN2" s="14"/>
      <c r="AO2" s="14"/>
      <c r="AR2" s="4"/>
      <c r="AS2" s="4"/>
      <c r="AT2" s="4"/>
      <c r="AU2" s="4"/>
      <c r="AV2" s="4"/>
      <c r="AW2" s="4"/>
      <c r="BD2" s="4"/>
      <c r="BE2" s="14"/>
      <c r="BF2" s="14"/>
      <c r="BG2" s="14"/>
      <c r="BP2" s="4"/>
      <c r="BW2" s="4"/>
      <c r="CB2" s="4"/>
    </row>
    <row r="3" spans="2:86" s="2" customFormat="1" ht="21" customHeight="1" x14ac:dyDescent="0.3">
      <c r="B3" s="10"/>
      <c r="C3" s="520" t="s">
        <v>111</v>
      </c>
      <c r="D3" s="516" t="s">
        <v>106</v>
      </c>
      <c r="E3" s="517"/>
      <c r="F3" s="517"/>
      <c r="G3" s="517"/>
      <c r="H3" s="518">
        <f>SUM(D5,E5)</f>
        <v>799310</v>
      </c>
      <c r="I3" s="122"/>
      <c r="M3" s="17"/>
      <c r="R3" s="526" t="s">
        <v>104</v>
      </c>
      <c r="S3" s="708" t="s">
        <v>138</v>
      </c>
      <c r="T3" s="708"/>
      <c r="U3" s="708"/>
      <c r="V3" s="122"/>
      <c r="W3" s="717" t="s">
        <v>105</v>
      </c>
      <c r="X3" s="717"/>
      <c r="Y3" s="717"/>
      <c r="AA3" s="122"/>
      <c r="AN3" s="16"/>
      <c r="AO3" s="16"/>
      <c r="BE3" s="16"/>
      <c r="BF3" s="16"/>
      <c r="BG3" s="16"/>
    </row>
    <row r="4" spans="2:86" s="2" customFormat="1" ht="15" x14ac:dyDescent="0.25">
      <c r="B4" s="10"/>
      <c r="C4" s="14" t="s">
        <v>0</v>
      </c>
      <c r="D4" s="515" t="s">
        <v>101</v>
      </c>
      <c r="E4" s="515" t="s">
        <v>102</v>
      </c>
      <c r="F4" s="515"/>
      <c r="G4" s="702" t="s">
        <v>142</v>
      </c>
      <c r="H4" s="515" t="s">
        <v>103</v>
      </c>
      <c r="I4" s="126"/>
      <c r="M4" s="124"/>
      <c r="O4" s="125"/>
      <c r="P4" s="126"/>
      <c r="R4" s="280" t="s">
        <v>117</v>
      </c>
      <c r="S4" s="715" t="s">
        <v>119</v>
      </c>
      <c r="T4" s="715"/>
      <c r="U4" s="715"/>
      <c r="V4" s="126"/>
      <c r="W4" s="716" t="s">
        <v>1</v>
      </c>
      <c r="X4" s="716"/>
      <c r="Y4" s="716"/>
      <c r="AA4" s="126"/>
      <c r="AN4" s="14"/>
      <c r="AO4" s="14"/>
      <c r="BE4" s="14"/>
      <c r="BF4" s="14"/>
      <c r="BG4" s="14"/>
    </row>
    <row r="5" spans="2:86" s="2" customFormat="1" ht="15.75" customHeight="1" x14ac:dyDescent="0.25">
      <c r="B5" s="10"/>
      <c r="C5" s="14" t="s">
        <v>2</v>
      </c>
      <c r="D5" s="512">
        <v>566310</v>
      </c>
      <c r="E5" s="512">
        <f>177010+55990</f>
        <v>233000</v>
      </c>
      <c r="F5" s="512"/>
      <c r="G5" s="701">
        <v>55990</v>
      </c>
      <c r="H5" s="511">
        <f>32000+43000-11</f>
        <v>74989</v>
      </c>
      <c r="J5" s="569" t="s">
        <v>115</v>
      </c>
      <c r="K5" s="17"/>
      <c r="L5" s="17"/>
      <c r="M5" s="17"/>
      <c r="N5" s="15"/>
      <c r="O5" s="15"/>
      <c r="P5" s="566"/>
      <c r="Q5" s="567"/>
      <c r="R5" s="568" t="s">
        <v>118</v>
      </c>
      <c r="S5" s="704" t="s">
        <v>137</v>
      </c>
      <c r="T5" s="704" t="s">
        <v>108</v>
      </c>
      <c r="U5" s="704"/>
      <c r="W5" s="514">
        <f>W40/(AO37*1+AP37*2+AQ37*3)</f>
        <v>94.306411323896754</v>
      </c>
      <c r="X5" s="513" t="s">
        <v>3</v>
      </c>
      <c r="Y5" s="513" t="s">
        <v>4</v>
      </c>
      <c r="AB5" s="146"/>
      <c r="AC5" s="146"/>
      <c r="AD5" s="146"/>
      <c r="AE5" s="146"/>
      <c r="AF5" s="146"/>
      <c r="AK5" s="569" t="s">
        <v>113</v>
      </c>
      <c r="AN5" s="14"/>
      <c r="AO5" s="579" t="s">
        <v>113</v>
      </c>
      <c r="AS5" s="580" t="s">
        <v>113</v>
      </c>
      <c r="AX5" s="569" t="s">
        <v>113</v>
      </c>
      <c r="BE5" s="569" t="s">
        <v>113</v>
      </c>
      <c r="BI5" s="339"/>
      <c r="BJ5" s="339"/>
      <c r="BK5" s="339"/>
      <c r="BL5" s="339"/>
      <c r="BM5" s="339"/>
      <c r="BN5" s="339"/>
      <c r="BO5" s="339"/>
      <c r="BP5" s="528"/>
      <c r="BQ5" s="569" t="s">
        <v>113</v>
      </c>
      <c r="BR5" s="569" t="s">
        <v>113</v>
      </c>
      <c r="BS5" s="339"/>
      <c r="BT5" s="339"/>
      <c r="BU5" s="339"/>
      <c r="BV5" s="339"/>
      <c r="BW5" s="528"/>
      <c r="BX5" s="569" t="s">
        <v>113</v>
      </c>
      <c r="BY5" s="339"/>
      <c r="BZ5" s="339"/>
      <c r="CA5" s="339"/>
      <c r="CB5" s="528"/>
      <c r="CC5" s="569" t="s">
        <v>114</v>
      </c>
      <c r="CD5" s="339"/>
      <c r="CE5" s="339"/>
      <c r="CF5" s="339"/>
      <c r="CG5" s="339"/>
      <c r="CH5" s="339"/>
    </row>
    <row r="6" spans="2:86" s="3" customFormat="1" ht="7.5" customHeight="1" thickBot="1" x14ac:dyDescent="0.3">
      <c r="B6" s="18"/>
      <c r="C6" s="6"/>
      <c r="D6" s="7"/>
      <c r="E6" s="7"/>
      <c r="F6" s="7"/>
      <c r="G6" s="7"/>
      <c r="H6" s="7"/>
      <c r="I6" s="8"/>
      <c r="J6" s="7"/>
      <c r="K6" s="7"/>
      <c r="L6" s="7"/>
      <c r="M6" s="7"/>
      <c r="N6" s="8"/>
      <c r="O6" s="8"/>
      <c r="P6" s="8"/>
      <c r="Q6" s="7"/>
      <c r="R6" s="7"/>
      <c r="S6" s="7"/>
      <c r="T6" s="8"/>
      <c r="U6" s="8"/>
      <c r="V6" s="8"/>
      <c r="W6" s="6"/>
      <c r="X6" s="6"/>
      <c r="Y6" s="6"/>
      <c r="Z6" s="6"/>
      <c r="AA6" s="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9"/>
      <c r="AQ6" s="7"/>
      <c r="AR6" s="6"/>
      <c r="AT6" s="6"/>
      <c r="AU6" s="6"/>
      <c r="AV6" s="6"/>
      <c r="AW6" s="6"/>
      <c r="AX6" s="7"/>
      <c r="AY6" s="7"/>
      <c r="AZ6" s="7"/>
      <c r="BA6" s="7"/>
      <c r="BB6" s="7"/>
      <c r="BC6" s="7"/>
      <c r="BD6" s="6"/>
      <c r="BE6" s="6"/>
      <c r="BF6" s="6"/>
      <c r="BG6" s="6"/>
      <c r="BH6" s="9"/>
      <c r="BI6" s="9"/>
      <c r="BJ6" s="9"/>
      <c r="BK6" s="7"/>
      <c r="BL6" s="7"/>
      <c r="BM6" s="7"/>
      <c r="BN6" s="7"/>
      <c r="BO6" s="7"/>
      <c r="BP6" s="6"/>
      <c r="BQ6" s="527"/>
      <c r="BR6" s="527"/>
      <c r="BS6" s="7"/>
      <c r="BT6" s="7"/>
      <c r="BU6" s="7"/>
      <c r="BV6" s="7"/>
      <c r="BW6" s="6"/>
      <c r="BX6" s="7"/>
      <c r="BY6" s="7"/>
      <c r="BZ6" s="7"/>
      <c r="CA6" s="7"/>
      <c r="CB6" s="6"/>
      <c r="CC6" s="7"/>
      <c r="CD6" s="7"/>
      <c r="CE6" s="7"/>
      <c r="CF6" s="7"/>
      <c r="CG6" s="7"/>
      <c r="CH6" s="7"/>
    </row>
    <row r="7" spans="2:86" s="3" customFormat="1" ht="15" x14ac:dyDescent="0.25">
      <c r="B7" s="32" t="s">
        <v>5</v>
      </c>
      <c r="C7" s="19" t="s">
        <v>6</v>
      </c>
      <c r="D7" s="718" t="s">
        <v>7</v>
      </c>
      <c r="E7" s="710"/>
      <c r="F7" s="710"/>
      <c r="G7" s="710"/>
      <c r="H7" s="711"/>
      <c r="I7" s="131"/>
      <c r="J7" s="719" t="s">
        <v>8</v>
      </c>
      <c r="K7" s="720"/>
      <c r="L7" s="720"/>
      <c r="M7" s="721"/>
      <c r="N7" s="722" t="s">
        <v>9</v>
      </c>
      <c r="O7" s="723"/>
      <c r="P7" s="263" t="s">
        <v>10</v>
      </c>
      <c r="Q7" s="709" t="s">
        <v>11</v>
      </c>
      <c r="R7" s="710"/>
      <c r="S7" s="722" t="s">
        <v>9</v>
      </c>
      <c r="T7" s="723"/>
      <c r="U7" s="263" t="s">
        <v>10</v>
      </c>
      <c r="V7" s="131"/>
      <c r="W7" s="335" t="s">
        <v>12</v>
      </c>
      <c r="X7" s="336"/>
      <c r="Y7" s="336"/>
      <c r="Z7" s="337"/>
      <c r="AA7" s="131"/>
      <c r="AB7" s="709" t="s">
        <v>13</v>
      </c>
      <c r="AC7" s="710"/>
      <c r="AD7" s="710"/>
      <c r="AE7" s="710"/>
      <c r="AF7" s="710"/>
      <c r="AG7" s="710"/>
      <c r="AH7" s="710"/>
      <c r="AI7" s="711"/>
      <c r="AJ7" s="140"/>
      <c r="AK7" s="709" t="s">
        <v>14</v>
      </c>
      <c r="AL7" s="710"/>
      <c r="AM7" s="710"/>
      <c r="AN7" s="710"/>
      <c r="AO7" s="724" t="s">
        <v>15</v>
      </c>
      <c r="AP7" s="725"/>
      <c r="AQ7" s="726"/>
      <c r="AR7" s="140"/>
      <c r="AS7" s="712" t="s">
        <v>16</v>
      </c>
      <c r="AT7" s="713"/>
      <c r="AU7" s="713"/>
      <c r="AV7" s="714"/>
      <c r="AW7" s="140"/>
      <c r="AX7" s="705" t="s">
        <v>17</v>
      </c>
      <c r="AY7" s="706"/>
      <c r="AZ7" s="706"/>
      <c r="BA7" s="706"/>
      <c r="BB7" s="706"/>
      <c r="BC7" s="620" t="s">
        <v>131</v>
      </c>
      <c r="BD7" s="140"/>
      <c r="BE7" s="705" t="s">
        <v>136</v>
      </c>
      <c r="BF7" s="706"/>
      <c r="BG7" s="706"/>
      <c r="BH7" s="706"/>
      <c r="BI7" s="706"/>
      <c r="BJ7" s="706"/>
      <c r="BK7" s="706"/>
      <c r="BL7" s="706"/>
      <c r="BM7" s="706"/>
      <c r="BN7" s="706"/>
      <c r="BO7" s="620" t="s">
        <v>131</v>
      </c>
      <c r="BP7" s="140"/>
      <c r="BQ7" s="619" t="s">
        <v>125</v>
      </c>
      <c r="BR7" s="705" t="s">
        <v>18</v>
      </c>
      <c r="BS7" s="706"/>
      <c r="BT7" s="706"/>
      <c r="BU7" s="706"/>
      <c r="BV7" s="707"/>
      <c r="BW7" s="140"/>
      <c r="BX7" s="705" t="s">
        <v>19</v>
      </c>
      <c r="BY7" s="706"/>
      <c r="BZ7" s="706"/>
      <c r="CA7" s="620" t="s">
        <v>131</v>
      </c>
      <c r="CB7" s="140"/>
      <c r="CC7" s="705" t="s">
        <v>107</v>
      </c>
      <c r="CD7" s="706"/>
      <c r="CE7" s="706"/>
      <c r="CF7" s="706"/>
      <c r="CG7" s="706"/>
      <c r="CH7" s="620" t="s">
        <v>131</v>
      </c>
    </row>
    <row r="8" spans="2:86" s="3" customFormat="1" ht="40.9" customHeight="1" thickBot="1" x14ac:dyDescent="0.3">
      <c r="B8" s="33" t="s">
        <v>20</v>
      </c>
      <c r="C8" s="20" t="s">
        <v>21</v>
      </c>
      <c r="D8" s="99" t="s">
        <v>22</v>
      </c>
      <c r="E8" s="654" t="s">
        <v>139</v>
      </c>
      <c r="F8" s="671" t="s">
        <v>141</v>
      </c>
      <c r="G8" s="682" t="s">
        <v>140</v>
      </c>
      <c r="H8" s="236" t="s">
        <v>23</v>
      </c>
      <c r="I8" s="131"/>
      <c r="J8" s="23" t="s">
        <v>24</v>
      </c>
      <c r="K8" s="45" t="s">
        <v>25</v>
      </c>
      <c r="L8" s="21" t="s">
        <v>26</v>
      </c>
      <c r="M8" s="30" t="s">
        <v>27</v>
      </c>
      <c r="N8" s="22" t="s">
        <v>28</v>
      </c>
      <c r="O8" s="25" t="s">
        <v>29</v>
      </c>
      <c r="P8" s="264" t="s">
        <v>30</v>
      </c>
      <c r="Q8" s="23" t="s">
        <v>31</v>
      </c>
      <c r="R8" s="21" t="s">
        <v>32</v>
      </c>
      <c r="S8" s="163" t="s">
        <v>28</v>
      </c>
      <c r="T8" s="25" t="s">
        <v>29</v>
      </c>
      <c r="U8" s="264" t="s">
        <v>30</v>
      </c>
      <c r="V8" s="131"/>
      <c r="W8" s="134" t="s">
        <v>33</v>
      </c>
      <c r="X8" s="152" t="s">
        <v>10</v>
      </c>
      <c r="Y8" s="152" t="s">
        <v>34</v>
      </c>
      <c r="Z8" s="220" t="s">
        <v>30</v>
      </c>
      <c r="AA8" s="131"/>
      <c r="AB8" s="134" t="s">
        <v>35</v>
      </c>
      <c r="AC8" s="24" t="s">
        <v>36</v>
      </c>
      <c r="AD8" s="99" t="s">
        <v>37</v>
      </c>
      <c r="AE8" s="220" t="s">
        <v>38</v>
      </c>
      <c r="AF8" s="21" t="s">
        <v>33</v>
      </c>
      <c r="AG8" s="152" t="s">
        <v>10</v>
      </c>
      <c r="AH8" s="152" t="s">
        <v>34</v>
      </c>
      <c r="AI8" s="220" t="s">
        <v>30</v>
      </c>
      <c r="AJ8" s="141"/>
      <c r="AK8" s="134" t="s">
        <v>23</v>
      </c>
      <c r="AL8" s="26" t="s">
        <v>39</v>
      </c>
      <c r="AM8" s="27" t="s">
        <v>40</v>
      </c>
      <c r="AN8" s="22" t="s">
        <v>41</v>
      </c>
      <c r="AO8" s="28" t="s">
        <v>42</v>
      </c>
      <c r="AP8" s="29" t="s">
        <v>43</v>
      </c>
      <c r="AQ8" s="30" t="s">
        <v>44</v>
      </c>
      <c r="AR8" s="141"/>
      <c r="AS8" s="192">
        <v>2016</v>
      </c>
      <c r="AT8" s="180">
        <v>2017</v>
      </c>
      <c r="AU8" s="24" t="s">
        <v>45</v>
      </c>
      <c r="AV8" s="30" t="s">
        <v>46</v>
      </c>
      <c r="AW8" s="141"/>
      <c r="AX8" s="192">
        <v>2016</v>
      </c>
      <c r="AY8" s="180">
        <v>2017</v>
      </c>
      <c r="AZ8" s="24" t="s">
        <v>45</v>
      </c>
      <c r="BA8" s="99" t="s">
        <v>46</v>
      </c>
      <c r="BB8" s="23" t="s">
        <v>35</v>
      </c>
      <c r="BC8" s="655">
        <v>0.2</v>
      </c>
      <c r="BD8" s="141"/>
      <c r="BE8" s="633" t="s">
        <v>120</v>
      </c>
      <c r="BF8" s="621" t="s">
        <v>121</v>
      </c>
      <c r="BG8" s="623" t="s">
        <v>124</v>
      </c>
      <c r="BH8" s="635" t="s">
        <v>122</v>
      </c>
      <c r="BI8" s="634" t="s">
        <v>123</v>
      </c>
      <c r="BJ8" s="622" t="s">
        <v>127</v>
      </c>
      <c r="BK8" s="653" t="s">
        <v>128</v>
      </c>
      <c r="BL8" s="654" t="s">
        <v>129</v>
      </c>
      <c r="BM8" s="581" t="s">
        <v>130</v>
      </c>
      <c r="BN8" s="23" t="s">
        <v>35</v>
      </c>
      <c r="BO8" s="655">
        <v>0.45</v>
      </c>
      <c r="BP8" s="141"/>
      <c r="BQ8" s="641" t="s">
        <v>126</v>
      </c>
      <c r="BR8" s="23" t="s">
        <v>23</v>
      </c>
      <c r="BS8" s="24" t="s">
        <v>48</v>
      </c>
      <c r="BT8" s="24" t="s">
        <v>49</v>
      </c>
      <c r="BU8" s="24" t="s">
        <v>50</v>
      </c>
      <c r="BV8" s="30" t="s">
        <v>76</v>
      </c>
      <c r="BW8" s="141"/>
      <c r="BX8" s="641" t="s">
        <v>133</v>
      </c>
      <c r="BY8" s="641" t="s">
        <v>134</v>
      </c>
      <c r="BZ8" s="23" t="s">
        <v>35</v>
      </c>
      <c r="CA8" s="655">
        <v>0.2</v>
      </c>
      <c r="CB8" s="141"/>
      <c r="CC8" s="641" t="s">
        <v>132</v>
      </c>
      <c r="CD8" s="24" t="s">
        <v>51</v>
      </c>
      <c r="CE8" s="653" t="s">
        <v>135</v>
      </c>
      <c r="CF8" s="30" t="s">
        <v>47</v>
      </c>
      <c r="CG8" s="23" t="s">
        <v>35</v>
      </c>
      <c r="CH8" s="655">
        <v>0.15</v>
      </c>
    </row>
    <row r="9" spans="2:86" s="3" customFormat="1" ht="7.5" customHeight="1" thickBot="1" x14ac:dyDescent="0.3">
      <c r="B9" s="18"/>
      <c r="C9" s="6"/>
      <c r="D9" s="7"/>
      <c r="E9" s="7"/>
      <c r="F9" s="7"/>
      <c r="G9" s="668"/>
      <c r="H9" s="7"/>
      <c r="I9" s="37"/>
      <c r="J9" s="7"/>
      <c r="K9" s="7"/>
      <c r="L9" s="7"/>
      <c r="M9" s="7"/>
      <c r="N9" s="8"/>
      <c r="O9" s="8"/>
      <c r="P9" s="8"/>
      <c r="Q9" s="7"/>
      <c r="R9" s="7"/>
      <c r="S9" s="8"/>
      <c r="T9" s="8"/>
      <c r="U9" s="8"/>
      <c r="V9" s="37"/>
      <c r="W9" s="6"/>
      <c r="X9" s="6"/>
      <c r="Y9" s="6"/>
      <c r="Z9" s="6"/>
      <c r="AA9" s="3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9"/>
      <c r="AQ9" s="7"/>
      <c r="AR9" s="6"/>
      <c r="AS9" s="7"/>
      <c r="AT9" s="7"/>
      <c r="AU9" s="7"/>
      <c r="AV9" s="7"/>
      <c r="AW9" s="6"/>
      <c r="AX9" s="7"/>
      <c r="AY9" s="7"/>
      <c r="AZ9" s="7"/>
      <c r="BA9" s="7"/>
      <c r="BB9" s="7"/>
      <c r="BC9" s="7"/>
      <c r="BD9" s="6"/>
      <c r="BE9" s="6"/>
      <c r="BF9" s="6"/>
      <c r="BG9" s="6"/>
      <c r="BH9" s="9"/>
      <c r="BI9" s="9"/>
      <c r="BJ9" s="9"/>
      <c r="BK9" s="7"/>
      <c r="BL9" s="7"/>
      <c r="BM9" s="7"/>
      <c r="BN9" s="7"/>
      <c r="BO9" s="7"/>
      <c r="BP9" s="6"/>
      <c r="BQ9" s="7"/>
      <c r="BR9" s="7"/>
      <c r="BS9" s="7"/>
      <c r="BT9" s="7"/>
      <c r="BU9" s="7"/>
      <c r="BV9" s="7"/>
      <c r="BW9" s="6"/>
      <c r="BX9" s="7"/>
      <c r="BY9" s="7"/>
      <c r="BZ9" s="7"/>
      <c r="CA9" s="7"/>
      <c r="CB9" s="6"/>
      <c r="CC9" s="7"/>
      <c r="CD9" s="7"/>
      <c r="CE9" s="7"/>
      <c r="CF9" s="7"/>
      <c r="CG9" s="7"/>
      <c r="CH9" s="7"/>
    </row>
    <row r="10" spans="2:86" s="446" customFormat="1" ht="15" x14ac:dyDescent="0.25">
      <c r="B10" s="129" t="s">
        <v>52</v>
      </c>
      <c r="C10" s="227" t="s">
        <v>97</v>
      </c>
      <c r="D10" s="232" t="s">
        <v>52</v>
      </c>
      <c r="E10" s="234" t="s">
        <v>52</v>
      </c>
      <c r="F10" s="672" t="s">
        <v>52</v>
      </c>
      <c r="G10" s="683" t="s">
        <v>52</v>
      </c>
      <c r="H10" s="238" t="s">
        <v>52</v>
      </c>
      <c r="I10" s="132"/>
      <c r="J10" s="38" t="s">
        <v>52</v>
      </c>
      <c r="K10" s="47" t="s">
        <v>52</v>
      </c>
      <c r="L10" s="47" t="s">
        <v>52</v>
      </c>
      <c r="M10" s="39" t="s">
        <v>52</v>
      </c>
      <c r="N10" s="53" t="s">
        <v>52</v>
      </c>
      <c r="O10" s="54" t="s">
        <v>52</v>
      </c>
      <c r="P10" s="54" t="s">
        <v>52</v>
      </c>
      <c r="Q10" s="38" t="s">
        <v>52</v>
      </c>
      <c r="R10" s="164" t="s">
        <v>52</v>
      </c>
      <c r="S10" s="165" t="s">
        <v>52</v>
      </c>
      <c r="T10" s="54" t="s">
        <v>52</v>
      </c>
      <c r="U10" s="54" t="s">
        <v>52</v>
      </c>
      <c r="V10" s="132"/>
      <c r="W10" s="135" t="s">
        <v>52</v>
      </c>
      <c r="X10" s="153" t="s">
        <v>52</v>
      </c>
      <c r="Y10" s="153" t="s">
        <v>52</v>
      </c>
      <c r="Z10" s="221" t="s">
        <v>52</v>
      </c>
      <c r="AA10" s="132"/>
      <c r="AB10" s="135" t="s">
        <v>52</v>
      </c>
      <c r="AC10" s="55" t="s">
        <v>52</v>
      </c>
      <c r="AD10" s="153" t="s">
        <v>52</v>
      </c>
      <c r="AE10" s="221" t="s">
        <v>52</v>
      </c>
      <c r="AF10" s="305" t="s">
        <v>52</v>
      </c>
      <c r="AG10" s="153" t="s">
        <v>52</v>
      </c>
      <c r="AH10" s="153" t="s">
        <v>52</v>
      </c>
      <c r="AI10" s="221" t="s">
        <v>52</v>
      </c>
      <c r="AJ10" s="142"/>
      <c r="AK10" s="135" t="s">
        <v>52</v>
      </c>
      <c r="AL10" s="55" t="s">
        <v>52</v>
      </c>
      <c r="AM10" s="55" t="s">
        <v>52</v>
      </c>
      <c r="AN10" s="56" t="s">
        <v>52</v>
      </c>
      <c r="AO10" s="57" t="s">
        <v>52</v>
      </c>
      <c r="AP10" s="58" t="s">
        <v>52</v>
      </c>
      <c r="AQ10" s="59" t="s">
        <v>52</v>
      </c>
      <c r="AR10" s="142"/>
      <c r="AS10" s="184" t="s">
        <v>52</v>
      </c>
      <c r="AT10" s="587" t="s">
        <v>52</v>
      </c>
      <c r="AU10" s="178" t="s">
        <v>52</v>
      </c>
      <c r="AV10" s="59" t="s">
        <v>52</v>
      </c>
      <c r="AW10" s="142"/>
      <c r="AX10" s="184" t="s">
        <v>52</v>
      </c>
      <c r="AY10" s="587" t="s">
        <v>52</v>
      </c>
      <c r="AZ10" s="178" t="s">
        <v>52</v>
      </c>
      <c r="BA10" s="107" t="s">
        <v>52</v>
      </c>
      <c r="BB10" s="119" t="s">
        <v>52</v>
      </c>
      <c r="BC10" s="56" t="s">
        <v>52</v>
      </c>
      <c r="BD10" s="142"/>
      <c r="BE10" s="193" t="s">
        <v>52</v>
      </c>
      <c r="BF10" s="624" t="s">
        <v>52</v>
      </c>
      <c r="BG10" s="636" t="s">
        <v>52</v>
      </c>
      <c r="BH10" s="58" t="s">
        <v>52</v>
      </c>
      <c r="BI10" s="193" t="s">
        <v>52</v>
      </c>
      <c r="BJ10" s="58" t="s">
        <v>52</v>
      </c>
      <c r="BK10" s="100" t="s">
        <v>52</v>
      </c>
      <c r="BL10" s="59" t="s">
        <v>52</v>
      </c>
      <c r="BM10" s="119" t="s">
        <v>52</v>
      </c>
      <c r="BN10" s="119" t="s">
        <v>52</v>
      </c>
      <c r="BO10" s="56" t="s">
        <v>52</v>
      </c>
      <c r="BP10" s="142"/>
      <c r="BQ10" s="295" t="s">
        <v>52</v>
      </c>
      <c r="BR10" s="119" t="s">
        <v>52</v>
      </c>
      <c r="BS10" s="113" t="s">
        <v>52</v>
      </c>
      <c r="BT10" s="107" t="s">
        <v>52</v>
      </c>
      <c r="BU10" s="107" t="s">
        <v>52</v>
      </c>
      <c r="BV10" s="107" t="s">
        <v>52</v>
      </c>
      <c r="BW10" s="142"/>
      <c r="BX10" s="338" t="s">
        <v>52</v>
      </c>
      <c r="BY10" s="295" t="s">
        <v>52</v>
      </c>
      <c r="BZ10" s="178" t="s">
        <v>52</v>
      </c>
      <c r="CA10" s="203" t="s">
        <v>52</v>
      </c>
      <c r="CB10" s="142"/>
      <c r="CC10" s="184" t="s">
        <v>52</v>
      </c>
      <c r="CD10" s="100" t="s">
        <v>52</v>
      </c>
      <c r="CE10" s="107" t="str">
        <f>AX10</f>
        <v>---</v>
      </c>
      <c r="CF10" s="203" t="s">
        <v>52</v>
      </c>
      <c r="CG10" s="119" t="s">
        <v>52</v>
      </c>
      <c r="CH10" s="56" t="s">
        <v>52</v>
      </c>
    </row>
    <row r="11" spans="2:86" s="3" customFormat="1" ht="15" x14ac:dyDescent="0.25">
      <c r="B11" s="210" t="s">
        <v>53</v>
      </c>
      <c r="C11" s="228" t="s">
        <v>78</v>
      </c>
      <c r="D11" s="656">
        <f>Z11</f>
        <v>35176</v>
      </c>
      <c r="E11" s="657">
        <f>AI11</f>
        <v>10522</v>
      </c>
      <c r="F11" s="673">
        <v>6794</v>
      </c>
      <c r="G11" s="684">
        <f>E11-F11</f>
        <v>3728</v>
      </c>
      <c r="H11" s="251">
        <f>D11+E11</f>
        <v>45698</v>
      </c>
      <c r="I11" s="130"/>
      <c r="J11" s="52">
        <v>42765</v>
      </c>
      <c r="K11" s="48">
        <v>51625</v>
      </c>
      <c r="L11" s="36">
        <v>42793</v>
      </c>
      <c r="M11" s="36">
        <v>42837</v>
      </c>
      <c r="N11" s="60">
        <v>0</v>
      </c>
      <c r="O11" s="61">
        <v>0</v>
      </c>
      <c r="P11" s="521">
        <f>IF(O11="","",O11*5/100)</f>
        <v>0</v>
      </c>
      <c r="Q11" s="52" t="s">
        <v>54</v>
      </c>
      <c r="R11" s="168" t="s">
        <v>109</v>
      </c>
      <c r="S11" s="169">
        <v>0</v>
      </c>
      <c r="T11" s="61">
        <v>0</v>
      </c>
      <c r="U11" s="521">
        <f>IF(T11="","",T11*5/100)</f>
        <v>0</v>
      </c>
      <c r="V11" s="130"/>
      <c r="W11" s="147">
        <f>$W$5*AO11+$W$5*2*AP11+$W$5*3*AQ11</f>
        <v>35176.291423813484</v>
      </c>
      <c r="X11" s="265">
        <f>-W11*P11</f>
        <v>0</v>
      </c>
      <c r="Y11" s="265">
        <f>W11+X11</f>
        <v>35176.291423813484</v>
      </c>
      <c r="Z11" s="268">
        <f>ROUND(Y11,0)</f>
        <v>35176</v>
      </c>
      <c r="AA11" s="130"/>
      <c r="AB11" s="306">
        <f>SUM(BC11,BO11,CA11,CH11)</f>
        <v>61.50001846384388</v>
      </c>
      <c r="AC11" s="307">
        <f>(AB11/($AB$37/21))-1</f>
        <v>0.10232333817495731</v>
      </c>
      <c r="AD11" s="308">
        <f>AB11*AK11</f>
        <v>10639.503194244991</v>
      </c>
      <c r="AE11" s="309">
        <f>AD11/$AD$37</f>
        <v>6.6589597536693038E-2</v>
      </c>
      <c r="AF11" s="310">
        <f>ROUND(AE11*$AF$40,0)</f>
        <v>10522</v>
      </c>
      <c r="AG11" s="265">
        <f>-AF11*U11</f>
        <v>0</v>
      </c>
      <c r="AH11" s="265">
        <f>AF11+AG11</f>
        <v>10522</v>
      </c>
      <c r="AI11" s="268">
        <f>ROUND(AH11,0)</f>
        <v>10522</v>
      </c>
      <c r="AJ11" s="60"/>
      <c r="AK11" s="529">
        <f>AL11+AN11</f>
        <v>173</v>
      </c>
      <c r="AL11" s="286">
        <v>167</v>
      </c>
      <c r="AM11" s="62">
        <v>0</v>
      </c>
      <c r="AN11" s="63">
        <v>6</v>
      </c>
      <c r="AO11" s="64">
        <v>64</v>
      </c>
      <c r="AP11" s="65">
        <v>18</v>
      </c>
      <c r="AQ11" s="66">
        <v>91</v>
      </c>
      <c r="AR11" s="60"/>
      <c r="AS11" s="185">
        <v>179</v>
      </c>
      <c r="AT11" s="582">
        <f>AK11</f>
        <v>173</v>
      </c>
      <c r="AU11" s="181">
        <f>AT11-AS11</f>
        <v>-6</v>
      </c>
      <c r="AV11" s="287">
        <f>AU11/AS11</f>
        <v>-3.3519553072625698E-2</v>
      </c>
      <c r="AW11" s="60"/>
      <c r="AX11" s="185">
        <v>100</v>
      </c>
      <c r="AY11" s="582">
        <f>AQ11</f>
        <v>91</v>
      </c>
      <c r="AZ11" s="181">
        <f>AY11-AX11</f>
        <v>-9</v>
      </c>
      <c r="BA11" s="196">
        <f>AZ11/AX11</f>
        <v>-0.09</v>
      </c>
      <c r="BB11" s="223">
        <f>100*(BA11-MIN(BA$11:BA$14,BA$17:BA$17,BA$20:BA$27,BA$30:BA$35))/(MAX(BA$11:BA$14,BA$17:BA$17,BA$20:BA$27,BA$30:BA$35)-MIN(BA$11:BA$14,BA$17:BA$17,BA$20:BA$27,BA$30:BA$35))</f>
        <v>25.402777777777775</v>
      </c>
      <c r="BC11" s="277">
        <f>BB11*BC$8</f>
        <v>5.0805555555555557</v>
      </c>
      <c r="BD11" s="60"/>
      <c r="BE11" s="557">
        <f>1-BF11</f>
        <v>1</v>
      </c>
      <c r="BF11" s="82">
        <v>0</v>
      </c>
      <c r="BG11" s="648">
        <f>BQ11-BH11</f>
        <v>1</v>
      </c>
      <c r="BH11" s="592">
        <v>0</v>
      </c>
      <c r="BI11" s="557">
        <f>BR11-BJ11</f>
        <v>4</v>
      </c>
      <c r="BJ11" s="592">
        <v>1</v>
      </c>
      <c r="BK11" s="563">
        <f>BS11-BL11</f>
        <v>3</v>
      </c>
      <c r="BL11" s="593">
        <v>0</v>
      </c>
      <c r="BM11" s="200">
        <f>(BE11+BG11+BI11+BK11)/SUM(BE11:BL11)</f>
        <v>0.9</v>
      </c>
      <c r="BN11" s="223">
        <f>100*(BM11-MIN(BM$11:BM$14,BM$17:BM$17,BM$20:BM$27,BM$30:BM$35))/(MAX(BM$11:BM$14,BM$17:BM$17,BM$20:BM$27,BM$30:BM$35)-MIN(BM$11:BM$14,BM$17:BM$17,BM$20:BM$27,BM$30:BM$35))</f>
        <v>84.999999999999986</v>
      </c>
      <c r="BO11" s="277">
        <f>BN11*BO$8</f>
        <v>38.249999999999993</v>
      </c>
      <c r="BP11" s="60"/>
      <c r="BQ11" s="645">
        <v>1</v>
      </c>
      <c r="BR11" s="547">
        <f>SUM(BS11:BV11)</f>
        <v>5</v>
      </c>
      <c r="BS11" s="114">
        <v>3</v>
      </c>
      <c r="BT11" s="108">
        <v>0</v>
      </c>
      <c r="BU11" s="108">
        <v>1</v>
      </c>
      <c r="BV11" s="106">
        <v>1</v>
      </c>
      <c r="BW11" s="60"/>
      <c r="BX11" s="296">
        <v>20</v>
      </c>
      <c r="BY11" s="299">
        <v>3.25</v>
      </c>
      <c r="BZ11" s="215">
        <f>100*(BY11-MIN(BY$11:BY$14,BY$17:BY$17,BY$20:BY$27,BY$30:BY$35))/(MAX(BY$11:BY$14,BY$17:BY$17,BY$20:BY$27,BY$30:BY$35)-MIN(BY$11:BY$14,BY$17:BY$17,BY$20:BY$27,BY$30:BY$35))</f>
        <v>57.121573301549468</v>
      </c>
      <c r="CA11" s="277">
        <f>BZ11*CA$8</f>
        <v>11.424314660309895</v>
      </c>
      <c r="CB11" s="60"/>
      <c r="CC11" s="185">
        <v>4</v>
      </c>
      <c r="CD11" s="209">
        <v>804</v>
      </c>
      <c r="CE11" s="552">
        <f>AX11</f>
        <v>100</v>
      </c>
      <c r="CF11" s="205">
        <f>CD11/CE11/100</f>
        <v>8.0399999999999985E-2</v>
      </c>
      <c r="CG11" s="215">
        <f>100*(CF11-MIN(CF$11:CF$14,CF$17:CF$17,CF$20:CF$27,CF$30:CF$35))/(MAX(CF$11:CF$14,CF$17:CF$17,CF$20:CF$27,CF$30:CF$35)-MIN(CF$11:CF$14,CF$17:CF$17,CF$20:CF$27,CF$30:CF$35))</f>
        <v>44.967654986522909</v>
      </c>
      <c r="CH11" s="277">
        <f>CG11*CH$8</f>
        <v>6.7451482479784364</v>
      </c>
    </row>
    <row r="12" spans="2:86" s="3" customFormat="1" ht="15" x14ac:dyDescent="0.25">
      <c r="B12" s="211" t="s">
        <v>55</v>
      </c>
      <c r="C12" s="229" t="s">
        <v>79</v>
      </c>
      <c r="D12" s="658">
        <f>Z12</f>
        <v>31498</v>
      </c>
      <c r="E12" s="659">
        <f>AI12</f>
        <v>7157</v>
      </c>
      <c r="F12" s="674">
        <v>4621</v>
      </c>
      <c r="G12" s="685">
        <f>E12-F12</f>
        <v>2536</v>
      </c>
      <c r="H12" s="252">
        <f>D12+E12</f>
        <v>38655</v>
      </c>
      <c r="I12" s="536"/>
      <c r="J12" s="170">
        <v>42764</v>
      </c>
      <c r="K12" s="49">
        <v>28564</v>
      </c>
      <c r="L12" s="46">
        <v>42788</v>
      </c>
      <c r="M12" s="282">
        <v>42824</v>
      </c>
      <c r="N12" s="283">
        <v>0</v>
      </c>
      <c r="O12" s="173">
        <v>0</v>
      </c>
      <c r="P12" s="522">
        <f t="shared" ref="P12:P14" si="0">IF(O12="","",O12*5/100)</f>
        <v>0</v>
      </c>
      <c r="Q12" s="170" t="s">
        <v>54</v>
      </c>
      <c r="R12" s="171" t="s">
        <v>109</v>
      </c>
      <c r="S12" s="172">
        <v>0</v>
      </c>
      <c r="T12" s="173">
        <v>0</v>
      </c>
      <c r="U12" s="522">
        <f t="shared" ref="U12:U14" si="1">IF(T12="","",T12*5/100)</f>
        <v>0</v>
      </c>
      <c r="V12" s="536"/>
      <c r="W12" s="148">
        <f t="shared" ref="W12:W14" si="2">$W$5*AO12+$W$5*2*AP12+$W$5*3*AQ12</f>
        <v>31498.341382181512</v>
      </c>
      <c r="X12" s="331">
        <f>-W12*P12</f>
        <v>0</v>
      </c>
      <c r="Y12" s="266">
        <f>W12+X12</f>
        <v>31498.341382181512</v>
      </c>
      <c r="Z12" s="269">
        <f t="shared" ref="Z12:Z14" si="3">ROUND(Y12,0)</f>
        <v>31498</v>
      </c>
      <c r="AA12" s="536"/>
      <c r="AB12" s="311">
        <f>SUM(BC12,BO12,CA12,CH12)</f>
        <v>54.417321398501024</v>
      </c>
      <c r="AC12" s="312">
        <f>(AB12/($AB$37/21))-1</f>
        <v>-2.4626579359469547E-2</v>
      </c>
      <c r="AD12" s="313">
        <f>AB12*AK12</f>
        <v>7237.5037460006361</v>
      </c>
      <c r="AE12" s="314">
        <f>AD12/$AD$37</f>
        <v>4.5297459178091873E-2</v>
      </c>
      <c r="AF12" s="315">
        <f>ROUND(AE12*$AF$40,0)</f>
        <v>7157</v>
      </c>
      <c r="AG12" s="331">
        <f>-AF12*U12</f>
        <v>0</v>
      </c>
      <c r="AH12" s="266">
        <f t="shared" ref="AH12:AH35" si="4">AF12+AG12</f>
        <v>7157</v>
      </c>
      <c r="AI12" s="269">
        <f t="shared" ref="AI12:AI35" si="5">ROUND(AH12,0)</f>
        <v>7157</v>
      </c>
      <c r="AJ12" s="60"/>
      <c r="AK12" s="530">
        <f>AL12+AN12</f>
        <v>133</v>
      </c>
      <c r="AL12" s="69">
        <v>132</v>
      </c>
      <c r="AM12" s="69">
        <v>0</v>
      </c>
      <c r="AN12" s="70">
        <v>1</v>
      </c>
      <c r="AO12" s="71">
        <v>27</v>
      </c>
      <c r="AP12" s="72">
        <v>11</v>
      </c>
      <c r="AQ12" s="73">
        <v>95</v>
      </c>
      <c r="AR12" s="60"/>
      <c r="AS12" s="186">
        <v>130</v>
      </c>
      <c r="AT12" s="583">
        <f>AK12</f>
        <v>133</v>
      </c>
      <c r="AU12" s="182">
        <f t="shared" ref="AU12:AU14" si="6">AT12-AS12</f>
        <v>3</v>
      </c>
      <c r="AV12" s="288">
        <f t="shared" ref="AV12:AV14" si="7">AU12/AS12</f>
        <v>2.3076923076923078E-2</v>
      </c>
      <c r="AW12" s="60"/>
      <c r="AX12" s="186">
        <v>93</v>
      </c>
      <c r="AY12" s="583">
        <f>AQ12</f>
        <v>95</v>
      </c>
      <c r="AZ12" s="182">
        <f t="shared" ref="AZ12:AZ14" si="8">AY12-AX12</f>
        <v>2</v>
      </c>
      <c r="BA12" s="197">
        <f t="shared" ref="BA12:BA14" si="9">AZ12/AX12</f>
        <v>2.1505376344086023E-2</v>
      </c>
      <c r="BB12" s="224">
        <f>100*(BA12-MIN(BA$11:BA$14,BA$17:BA$17,BA$20:BA$27,BA$30:BA$35))/(MAX(BA$11:BA$14,BA$17:BA$17,BA$20:BA$27,BA$30:BA$35)-MIN(BA$11:BA$14,BA$17:BA$17,BA$20:BA$27,BA$30:BA$35))</f>
        <v>47.273662551440324</v>
      </c>
      <c r="BC12" s="278">
        <f t="shared" ref="BC12:BC14" si="10">BB12*BC$8</f>
        <v>9.4547325102880659</v>
      </c>
      <c r="BD12" s="60"/>
      <c r="BE12" s="558">
        <f t="shared" ref="BE12:BE14" si="11">1-BF12</f>
        <v>1</v>
      </c>
      <c r="BF12" s="625">
        <v>0</v>
      </c>
      <c r="BG12" s="649">
        <f t="shared" ref="BG12:BG14" si="12">BQ12-BH12</f>
        <v>1</v>
      </c>
      <c r="BH12" s="72">
        <v>0</v>
      </c>
      <c r="BI12" s="558">
        <f>BR12-BJ12</f>
        <v>5</v>
      </c>
      <c r="BJ12" s="72">
        <v>1</v>
      </c>
      <c r="BK12" s="563">
        <f>BS12-BL12</f>
        <v>1</v>
      </c>
      <c r="BL12" s="594">
        <v>3</v>
      </c>
      <c r="BM12" s="200">
        <f t="shared" ref="BM12:BM14" si="13">(BE12+BG12+BI12+BK12)/SUM(BE12:BL12)</f>
        <v>0.66666666666666663</v>
      </c>
      <c r="BN12" s="224">
        <f>100*(BM12-MIN(BM$11:BM$14,BM$17:BM$17,BM$20:BM$27,BM$30:BM$35))/(MAX(BM$11:BM$14,BM$17:BM$17,BM$20:BM$27,BM$30:BM$35)-MIN(BM$11:BM$14,BM$17:BM$17,BM$20:BM$27,BM$30:BM$35))</f>
        <v>49.999999999999986</v>
      </c>
      <c r="BO12" s="278">
        <f t="shared" ref="BO12:BO14" si="14">BN12*BO$8</f>
        <v>22.499999999999993</v>
      </c>
      <c r="BP12" s="60"/>
      <c r="BQ12" s="646">
        <v>1</v>
      </c>
      <c r="BR12" s="548">
        <f>SUM(BS12:BV12)</f>
        <v>6</v>
      </c>
      <c r="BS12" s="115">
        <v>4</v>
      </c>
      <c r="BT12" s="109">
        <v>1</v>
      </c>
      <c r="BU12" s="109">
        <v>1</v>
      </c>
      <c r="BV12" s="73">
        <v>0</v>
      </c>
      <c r="BW12" s="60"/>
      <c r="BX12" s="298">
        <v>14</v>
      </c>
      <c r="BY12" s="299">
        <v>3.6429999999999998</v>
      </c>
      <c r="BZ12" s="216">
        <f>100*(BY12-MIN(BY$11:BY$14,BY$17:BY$17,BY$20:BY$27,BY$30:BY$35))/(MAX(BY$11:BY$14,BY$17:BY$17,BY$20:BY$27,BY$30:BY$35)-MIN(BY$11:BY$14,BY$17:BY$17,BY$20:BY$27,BY$30:BY$35))</f>
        <v>68.831942789034557</v>
      </c>
      <c r="CA12" s="278">
        <f t="shared" ref="CA12:CA14" si="15">BZ12*CA$8</f>
        <v>13.766388557806913</v>
      </c>
      <c r="CB12" s="60"/>
      <c r="CC12" s="186">
        <v>2</v>
      </c>
      <c r="CD12" s="102">
        <v>964</v>
      </c>
      <c r="CE12" s="553">
        <f>AX12</f>
        <v>93</v>
      </c>
      <c r="CF12" s="206">
        <f>CD12/CE12/100</f>
        <v>0.10365591397849462</v>
      </c>
      <c r="CG12" s="216">
        <f>100*(CF12-MIN(CF$11:CF$14,CF$17:CF$17,CF$20:CF$27,CF$30:CF$35))/(MAX(CF$11:CF$14,CF$17:CF$17,CF$20:CF$27,CF$30:CF$35)-MIN(CF$11:CF$14,CF$17:CF$17,CF$20:CF$27,CF$30:CF$35))</f>
        <v>57.97466886937368</v>
      </c>
      <c r="CH12" s="278">
        <f t="shared" ref="CH12:CH14" si="16">CG12*CH$8</f>
        <v>8.696200330406052</v>
      </c>
    </row>
    <row r="13" spans="2:86" s="3" customFormat="1" ht="15" x14ac:dyDescent="0.25">
      <c r="B13" s="211" t="s">
        <v>56</v>
      </c>
      <c r="C13" s="229" t="s">
        <v>80</v>
      </c>
      <c r="D13" s="658">
        <f>Z13</f>
        <v>18767</v>
      </c>
      <c r="E13" s="659">
        <f>AI13</f>
        <v>4237</v>
      </c>
      <c r="F13" s="674">
        <v>2735</v>
      </c>
      <c r="G13" s="685">
        <f>E13-F13</f>
        <v>1502</v>
      </c>
      <c r="H13" s="252">
        <f>D13+E13</f>
        <v>23004</v>
      </c>
      <c r="I13" s="536"/>
      <c r="J13" s="170">
        <v>42766</v>
      </c>
      <c r="K13" s="49">
        <v>23600</v>
      </c>
      <c r="L13" s="46">
        <v>42773</v>
      </c>
      <c r="M13" s="46">
        <v>42856</v>
      </c>
      <c r="N13" s="283">
        <v>0</v>
      </c>
      <c r="O13" s="173">
        <v>0</v>
      </c>
      <c r="P13" s="522">
        <f t="shared" si="0"/>
        <v>0</v>
      </c>
      <c r="Q13" s="170" t="s">
        <v>54</v>
      </c>
      <c r="R13" s="171" t="s">
        <v>109</v>
      </c>
      <c r="S13" s="172">
        <v>0</v>
      </c>
      <c r="T13" s="173">
        <v>0</v>
      </c>
      <c r="U13" s="522">
        <f t="shared" si="1"/>
        <v>0</v>
      </c>
      <c r="V13" s="536"/>
      <c r="W13" s="148">
        <f t="shared" si="2"/>
        <v>18766.975853455453</v>
      </c>
      <c r="X13" s="331">
        <f>-W13*P13</f>
        <v>0</v>
      </c>
      <c r="Y13" s="266">
        <f>W13+X13</f>
        <v>18766.975853455453</v>
      </c>
      <c r="Z13" s="269">
        <f t="shared" si="3"/>
        <v>18767</v>
      </c>
      <c r="AA13" s="536"/>
      <c r="AB13" s="311">
        <f>SUM(BC13,BO13,CA13,CH13)</f>
        <v>53.548769047403795</v>
      </c>
      <c r="AC13" s="312">
        <f>(AB13/($AB$37/21))-1</f>
        <v>-4.0194469434235547E-2</v>
      </c>
      <c r="AD13" s="313">
        <f>AB13*AK13</f>
        <v>4283.9015237923031</v>
      </c>
      <c r="AE13" s="314">
        <f>AD13/$AD$37</f>
        <v>2.6811710391746214E-2</v>
      </c>
      <c r="AF13" s="315">
        <f>ROUND(AE13*$AF$40,0)</f>
        <v>4237</v>
      </c>
      <c r="AG13" s="331">
        <f>-AF13*U13</f>
        <v>0</v>
      </c>
      <c r="AH13" s="266">
        <f t="shared" si="4"/>
        <v>4237</v>
      </c>
      <c r="AI13" s="269">
        <f t="shared" si="5"/>
        <v>4237</v>
      </c>
      <c r="AJ13" s="60"/>
      <c r="AK13" s="530">
        <f>AL13+AN13</f>
        <v>80</v>
      </c>
      <c r="AL13" s="69">
        <v>80</v>
      </c>
      <c r="AM13" s="69">
        <v>0</v>
      </c>
      <c r="AN13" s="70">
        <v>0</v>
      </c>
      <c r="AO13" s="71">
        <v>15</v>
      </c>
      <c r="AP13" s="72">
        <v>11</v>
      </c>
      <c r="AQ13" s="73">
        <v>54</v>
      </c>
      <c r="AR13" s="60"/>
      <c r="AS13" s="186">
        <v>75</v>
      </c>
      <c r="AT13" s="583">
        <f>AK13</f>
        <v>80</v>
      </c>
      <c r="AU13" s="182">
        <f t="shared" si="6"/>
        <v>5</v>
      </c>
      <c r="AV13" s="288">
        <f t="shared" si="7"/>
        <v>6.6666666666666666E-2</v>
      </c>
      <c r="AW13" s="60"/>
      <c r="AX13" s="186">
        <v>52</v>
      </c>
      <c r="AY13" s="583">
        <f>AQ13</f>
        <v>54</v>
      </c>
      <c r="AZ13" s="182">
        <f t="shared" si="8"/>
        <v>2</v>
      </c>
      <c r="BA13" s="197">
        <f t="shared" si="9"/>
        <v>3.8461538461538464E-2</v>
      </c>
      <c r="BB13" s="224">
        <f>100*(BA13-MIN(BA$11:BA$14,BA$17:BA$17,BA$20:BA$27,BA$30:BA$35))/(MAX(BA$11:BA$14,BA$17:BA$17,BA$20:BA$27,BA$30:BA$35)-MIN(BA$11:BA$14,BA$17:BA$17,BA$20:BA$27,BA$30:BA$35))</f>
        <v>50.599477682811006</v>
      </c>
      <c r="BC13" s="278">
        <f t="shared" si="10"/>
        <v>10.119895536562202</v>
      </c>
      <c r="BD13" s="60"/>
      <c r="BE13" s="558">
        <f t="shared" si="11"/>
        <v>1</v>
      </c>
      <c r="BF13" s="625">
        <v>0</v>
      </c>
      <c r="BG13" s="649">
        <f t="shared" si="12"/>
        <v>1</v>
      </c>
      <c r="BH13" s="72">
        <v>0</v>
      </c>
      <c r="BI13" s="558">
        <f>BR13-BJ13</f>
        <v>5</v>
      </c>
      <c r="BJ13" s="72">
        <v>0</v>
      </c>
      <c r="BK13" s="563">
        <f>BS13-BL13</f>
        <v>0</v>
      </c>
      <c r="BL13" s="594">
        <v>3</v>
      </c>
      <c r="BM13" s="200">
        <f t="shared" si="13"/>
        <v>0.7</v>
      </c>
      <c r="BN13" s="224">
        <f>100*(BM13-MIN(BM$11:BM$14,BM$17:BM$17,BM$20:BM$27,BM$30:BM$35))/(MAX(BM$11:BM$14,BM$17:BM$17,BM$20:BM$27,BM$30:BM$35)-MIN(BM$11:BM$14,BM$17:BM$17,BM$20:BM$27,BM$30:BM$35))</f>
        <v>54.999999999999993</v>
      </c>
      <c r="BO13" s="278">
        <f t="shared" si="14"/>
        <v>24.749999999999996</v>
      </c>
      <c r="BP13" s="60"/>
      <c r="BQ13" s="646">
        <v>1</v>
      </c>
      <c r="BR13" s="548">
        <f>SUM(BS13:BV13)</f>
        <v>5</v>
      </c>
      <c r="BS13" s="115">
        <v>3</v>
      </c>
      <c r="BT13" s="109">
        <v>1</v>
      </c>
      <c r="BU13" s="109">
        <v>1</v>
      </c>
      <c r="BV13" s="73">
        <v>0</v>
      </c>
      <c r="BW13" s="60"/>
      <c r="BX13" s="298">
        <v>3</v>
      </c>
      <c r="BY13" s="299">
        <v>3</v>
      </c>
      <c r="BZ13" s="216">
        <f>100*(BY13-MIN(BY$11:BY$14,BY$17:BY$17,BY$20:BY$27,BY$30:BY$35))/(MAX(BY$11:BY$14,BY$17:BY$17,BY$20:BY$27,BY$30:BY$35)-MIN(BY$11:BY$14,BY$17:BY$17,BY$20:BY$27,BY$30:BY$35))</f>
        <v>49.672228843861745</v>
      </c>
      <c r="CA13" s="278">
        <f t="shared" si="15"/>
        <v>9.9344457687723491</v>
      </c>
      <c r="CB13" s="60"/>
      <c r="CC13" s="186">
        <v>1</v>
      </c>
      <c r="CD13" s="102">
        <v>542</v>
      </c>
      <c r="CE13" s="553">
        <f>AX13</f>
        <v>52</v>
      </c>
      <c r="CF13" s="206">
        <f>CD13/CE13/100</f>
        <v>0.10423076923076924</v>
      </c>
      <c r="CG13" s="216">
        <f>100*(CF13-MIN(CF$11:CF$14,CF$17:CF$17,CF$20:CF$27,CF$30:CF$35))/(MAX(CF$11:CF$14,CF$17:CF$17,CF$20:CF$27,CF$30:CF$35)-MIN(CF$11:CF$14,CF$17:CF$17,CF$20:CF$27,CF$30:CF$35))</f>
        <v>58.296184947128353</v>
      </c>
      <c r="CH13" s="278">
        <f t="shared" si="16"/>
        <v>8.7444277420692522</v>
      </c>
    </row>
    <row r="14" spans="2:86" s="3" customFormat="1" ht="15.75" thickBot="1" x14ac:dyDescent="0.3">
      <c r="B14" s="212" t="s">
        <v>57</v>
      </c>
      <c r="C14" s="230" t="s">
        <v>81</v>
      </c>
      <c r="D14" s="660">
        <f>Z14</f>
        <v>29235</v>
      </c>
      <c r="E14" s="661">
        <f>AI14</f>
        <v>8934</v>
      </c>
      <c r="F14" s="675">
        <v>5768</v>
      </c>
      <c r="G14" s="686">
        <f>E14-F14</f>
        <v>3166</v>
      </c>
      <c r="H14" s="253">
        <f>D14+E14</f>
        <v>38169</v>
      </c>
      <c r="I14" s="536"/>
      <c r="J14" s="174">
        <v>42766</v>
      </c>
      <c r="K14" s="50">
        <v>38480</v>
      </c>
      <c r="L14" s="334">
        <v>42793</v>
      </c>
      <c r="M14" s="334">
        <v>42823</v>
      </c>
      <c r="N14" s="284">
        <v>0</v>
      </c>
      <c r="O14" s="177">
        <v>0</v>
      </c>
      <c r="P14" s="523">
        <f t="shared" si="0"/>
        <v>0</v>
      </c>
      <c r="Q14" s="174" t="s">
        <v>54</v>
      </c>
      <c r="R14" s="175" t="s">
        <v>109</v>
      </c>
      <c r="S14" s="176">
        <v>0</v>
      </c>
      <c r="T14" s="177">
        <v>0</v>
      </c>
      <c r="U14" s="523">
        <f t="shared" si="1"/>
        <v>0</v>
      </c>
      <c r="V14" s="536"/>
      <c r="W14" s="149">
        <f t="shared" si="2"/>
        <v>29234.987510407991</v>
      </c>
      <c r="X14" s="332">
        <f>-W14*P14</f>
        <v>0</v>
      </c>
      <c r="Y14" s="267">
        <f>W14+X14</f>
        <v>29234.987510407991</v>
      </c>
      <c r="Z14" s="270">
        <f t="shared" si="3"/>
        <v>29235</v>
      </c>
      <c r="AA14" s="536"/>
      <c r="AB14" s="316">
        <f>SUM(BC14,BO14,CA14,CH14)</f>
        <v>75.278527429655114</v>
      </c>
      <c r="AC14" s="317">
        <f>(AB14/($AB$37/21))-1</f>
        <v>0.34928866237556599</v>
      </c>
      <c r="AD14" s="318">
        <f>AB14*AK14</f>
        <v>9033.4232915586144</v>
      </c>
      <c r="AE14" s="319">
        <f>AD14/$AD$37</f>
        <v>5.6537604282956691E-2</v>
      </c>
      <c r="AF14" s="320">
        <f>ROUND(AE14*$AF$40,0)</f>
        <v>8934</v>
      </c>
      <c r="AG14" s="332">
        <f>-AF14*U14</f>
        <v>0</v>
      </c>
      <c r="AH14" s="267">
        <f t="shared" si="4"/>
        <v>8934</v>
      </c>
      <c r="AI14" s="270">
        <f t="shared" si="5"/>
        <v>8934</v>
      </c>
      <c r="AJ14" s="60"/>
      <c r="AK14" s="531">
        <f>AL14+AN14</f>
        <v>120</v>
      </c>
      <c r="AL14" s="76">
        <v>120</v>
      </c>
      <c r="AM14" s="76">
        <v>0</v>
      </c>
      <c r="AN14" s="77">
        <v>0</v>
      </c>
      <c r="AO14" s="78">
        <v>17</v>
      </c>
      <c r="AP14" s="79">
        <v>16</v>
      </c>
      <c r="AQ14" s="80">
        <v>87</v>
      </c>
      <c r="AR14" s="60"/>
      <c r="AS14" s="187">
        <v>124</v>
      </c>
      <c r="AT14" s="584">
        <f>AK14</f>
        <v>120</v>
      </c>
      <c r="AU14" s="183">
        <f t="shared" si="6"/>
        <v>-4</v>
      </c>
      <c r="AV14" s="289">
        <f t="shared" si="7"/>
        <v>-3.2258064516129031E-2</v>
      </c>
      <c r="AW14" s="60"/>
      <c r="AX14" s="187">
        <v>89</v>
      </c>
      <c r="AY14" s="584">
        <f>AQ14</f>
        <v>87</v>
      </c>
      <c r="AZ14" s="183">
        <f t="shared" si="8"/>
        <v>-2</v>
      </c>
      <c r="BA14" s="198">
        <f t="shared" si="9"/>
        <v>-2.247191011235955E-2</v>
      </c>
      <c r="BB14" s="225">
        <f>100*(BA14-MIN(BA$11:BA$14,BA$17:BA$17,BA$20:BA$27,BA$30:BA$35))/(MAX(BA$11:BA$14,BA$17:BA$17,BA$20:BA$27,BA$30:BA$35)-MIN(BA$11:BA$14,BA$17:BA$17,BA$20:BA$27,BA$30:BA$35))</f>
        <v>38.647870717159108</v>
      </c>
      <c r="BC14" s="279">
        <f t="shared" si="10"/>
        <v>7.7295741434318224</v>
      </c>
      <c r="BD14" s="60"/>
      <c r="BE14" s="559">
        <f t="shared" si="11"/>
        <v>1</v>
      </c>
      <c r="BF14" s="626">
        <v>0</v>
      </c>
      <c r="BG14" s="650">
        <f t="shared" si="12"/>
        <v>1</v>
      </c>
      <c r="BH14" s="79">
        <v>0</v>
      </c>
      <c r="BI14" s="559">
        <f>BR14-BJ14</f>
        <v>5</v>
      </c>
      <c r="BJ14" s="79">
        <v>0</v>
      </c>
      <c r="BK14" s="564">
        <f>BS14-BL14</f>
        <v>4</v>
      </c>
      <c r="BL14" s="595">
        <v>0</v>
      </c>
      <c r="BM14" s="201">
        <f t="shared" si="13"/>
        <v>1</v>
      </c>
      <c r="BN14" s="225">
        <f>100*(BM14-MIN(BM$11:BM$14,BM$17:BM$17,BM$20:BM$27,BM$30:BM$35))/(MAX(BM$11:BM$14,BM$17:BM$17,BM$20:BM$27,BM$30:BM$35)-MIN(BM$11:BM$14,BM$17:BM$17,BM$20:BM$27,BM$30:BM$35))</f>
        <v>100</v>
      </c>
      <c r="BO14" s="279">
        <f t="shared" si="14"/>
        <v>45</v>
      </c>
      <c r="BP14" s="60"/>
      <c r="BQ14" s="647">
        <v>1</v>
      </c>
      <c r="BR14" s="549">
        <f>SUM(BS14:BV14)</f>
        <v>5</v>
      </c>
      <c r="BS14" s="116">
        <v>4</v>
      </c>
      <c r="BT14" s="110">
        <v>0</v>
      </c>
      <c r="BU14" s="110">
        <v>1</v>
      </c>
      <c r="BV14" s="80">
        <v>0</v>
      </c>
      <c r="BW14" s="60"/>
      <c r="BX14" s="300">
        <v>20</v>
      </c>
      <c r="BY14" s="217">
        <v>4</v>
      </c>
      <c r="BZ14" s="217">
        <f>100*(BY14-MIN(BY$11:BY$14,BY$17:BY$17,BY$20:BY$27,BY$30:BY$35))/(MAX(BY$11:BY$14,BY$17:BY$17,BY$20:BY$27,BY$30:BY$35)-MIN(BY$11:BY$14,BY$17:BY$17,BY$20:BY$27,BY$30:BY$35))</f>
        <v>79.469606674612635</v>
      </c>
      <c r="CA14" s="279">
        <f t="shared" si="15"/>
        <v>15.893921334922528</v>
      </c>
      <c r="CB14" s="60"/>
      <c r="CC14" s="187">
        <v>4</v>
      </c>
      <c r="CD14" s="103">
        <v>706</v>
      </c>
      <c r="CE14" s="554">
        <f>AX14</f>
        <v>89</v>
      </c>
      <c r="CF14" s="207">
        <f>CD14/CE14/100</f>
        <v>7.932584269662922E-2</v>
      </c>
      <c r="CG14" s="217">
        <f>100*(CF14-MIN(CF$11:CF$14,CF$17:CF$17,CF$20:CF$27,CF$30:CF$35))/(MAX(CF$11:CF$14,CF$17:CF$17,CF$20:CF$27,CF$30:CF$35)-MIN(CF$11:CF$14,CF$17:CF$17,CF$20:CF$27,CF$30:CF$35))</f>
        <v>44.366879675338446</v>
      </c>
      <c r="CH14" s="279">
        <f t="shared" si="16"/>
        <v>6.6550319513007663</v>
      </c>
    </row>
    <row r="15" spans="2:86" s="3" customFormat="1" ht="7.5" customHeight="1" thickBot="1" x14ac:dyDescent="0.3">
      <c r="B15" s="213"/>
      <c r="C15" s="7"/>
      <c r="D15" s="34"/>
      <c r="E15" s="34"/>
      <c r="F15" s="669"/>
      <c r="G15" s="669"/>
      <c r="H15" s="34"/>
      <c r="I15" s="60"/>
      <c r="J15" s="34"/>
      <c r="K15" s="34"/>
      <c r="L15" s="34"/>
      <c r="M15" s="34"/>
      <c r="N15" s="60"/>
      <c r="O15" s="60"/>
      <c r="P15" s="60"/>
      <c r="Q15" s="34"/>
      <c r="R15" s="34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81"/>
      <c r="AO15" s="82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82"/>
      <c r="BF15" s="82"/>
      <c r="BG15" s="82"/>
      <c r="BH15" s="60"/>
      <c r="BI15" s="82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293"/>
      <c r="BY15" s="291"/>
      <c r="BZ15" s="60"/>
      <c r="CA15" s="60"/>
      <c r="CB15" s="60"/>
      <c r="CC15" s="60"/>
      <c r="CD15" s="60"/>
      <c r="CE15" s="60"/>
      <c r="CF15" s="60"/>
      <c r="CG15" s="60"/>
      <c r="CH15" s="60"/>
    </row>
    <row r="16" spans="2:86" s="446" customFormat="1" ht="15" x14ac:dyDescent="0.25">
      <c r="B16" s="380" t="s">
        <v>52</v>
      </c>
      <c r="C16" s="381" t="s">
        <v>96</v>
      </c>
      <c r="D16" s="384" t="s">
        <v>52</v>
      </c>
      <c r="E16" s="385" t="s">
        <v>52</v>
      </c>
      <c r="F16" s="676" t="s">
        <v>52</v>
      </c>
      <c r="G16" s="687" t="s">
        <v>52</v>
      </c>
      <c r="H16" s="386" t="s">
        <v>52</v>
      </c>
      <c r="I16" s="447"/>
      <c r="J16" s="448" t="s">
        <v>52</v>
      </c>
      <c r="K16" s="449" t="s">
        <v>52</v>
      </c>
      <c r="L16" s="450" t="s">
        <v>52</v>
      </c>
      <c r="M16" s="450" t="s">
        <v>52</v>
      </c>
      <c r="N16" s="451" t="s">
        <v>52</v>
      </c>
      <c r="O16" s="452" t="s">
        <v>52</v>
      </c>
      <c r="P16" s="453" t="s">
        <v>52</v>
      </c>
      <c r="Q16" s="454" t="s">
        <v>52</v>
      </c>
      <c r="R16" s="454" t="s">
        <v>52</v>
      </c>
      <c r="S16" s="455" t="s">
        <v>52</v>
      </c>
      <c r="T16" s="452" t="s">
        <v>52</v>
      </c>
      <c r="U16" s="453" t="s">
        <v>52</v>
      </c>
      <c r="V16" s="447"/>
      <c r="W16" s="456" t="s">
        <v>52</v>
      </c>
      <c r="X16" s="457" t="s">
        <v>52</v>
      </c>
      <c r="Y16" s="458" t="s">
        <v>52</v>
      </c>
      <c r="Z16" s="459" t="s">
        <v>52</v>
      </c>
      <c r="AA16" s="447"/>
      <c r="AB16" s="456" t="s">
        <v>52</v>
      </c>
      <c r="AC16" s="460" t="s">
        <v>52</v>
      </c>
      <c r="AD16" s="458" t="s">
        <v>52</v>
      </c>
      <c r="AE16" s="461" t="s">
        <v>52</v>
      </c>
      <c r="AF16" s="462" t="s">
        <v>52</v>
      </c>
      <c r="AG16" s="457" t="s">
        <v>52</v>
      </c>
      <c r="AH16" s="458" t="s">
        <v>52</v>
      </c>
      <c r="AI16" s="459" t="s">
        <v>52</v>
      </c>
      <c r="AJ16" s="463"/>
      <c r="AK16" s="537" t="s">
        <v>52</v>
      </c>
      <c r="AL16" s="539" t="s">
        <v>52</v>
      </c>
      <c r="AM16" s="539" t="s">
        <v>52</v>
      </c>
      <c r="AN16" s="540" t="s">
        <v>52</v>
      </c>
      <c r="AO16" s="464" t="s">
        <v>52</v>
      </c>
      <c r="AP16" s="541" t="s">
        <v>52</v>
      </c>
      <c r="AQ16" s="542" t="s">
        <v>52</v>
      </c>
      <c r="AR16" s="463"/>
      <c r="AS16" s="465" t="s">
        <v>52</v>
      </c>
      <c r="AT16" s="585" t="s">
        <v>52</v>
      </c>
      <c r="AU16" s="466" t="s">
        <v>52</v>
      </c>
      <c r="AV16" s="467" t="s">
        <v>52</v>
      </c>
      <c r="AW16" s="463"/>
      <c r="AX16" s="465" t="s">
        <v>52</v>
      </c>
      <c r="AY16" s="585" t="s">
        <v>52</v>
      </c>
      <c r="AZ16" s="466" t="s">
        <v>52</v>
      </c>
      <c r="BA16" s="468" t="s">
        <v>52</v>
      </c>
      <c r="BB16" s="469" t="s">
        <v>52</v>
      </c>
      <c r="BC16" s="470" t="s">
        <v>52</v>
      </c>
      <c r="BD16" s="463"/>
      <c r="BE16" s="471" t="s">
        <v>52</v>
      </c>
      <c r="BF16" s="627" t="s">
        <v>52</v>
      </c>
      <c r="BG16" s="637" t="s">
        <v>52</v>
      </c>
      <c r="BH16" s="541" t="s">
        <v>52</v>
      </c>
      <c r="BI16" s="471" t="s">
        <v>52</v>
      </c>
      <c r="BJ16" s="541" t="s">
        <v>52</v>
      </c>
      <c r="BK16" s="477" t="s">
        <v>52</v>
      </c>
      <c r="BL16" s="542" t="s">
        <v>52</v>
      </c>
      <c r="BM16" s="472" t="s">
        <v>52</v>
      </c>
      <c r="BN16" s="469" t="s">
        <v>52</v>
      </c>
      <c r="BO16" s="470" t="s">
        <v>52</v>
      </c>
      <c r="BP16" s="463"/>
      <c r="BQ16" s="642" t="s">
        <v>52</v>
      </c>
      <c r="BR16" s="469" t="s">
        <v>52</v>
      </c>
      <c r="BS16" s="473" t="s">
        <v>52</v>
      </c>
      <c r="BT16" s="474" t="s">
        <v>52</v>
      </c>
      <c r="BU16" s="474" t="s">
        <v>52</v>
      </c>
      <c r="BV16" s="470" t="s">
        <v>52</v>
      </c>
      <c r="BW16" s="463"/>
      <c r="BX16" s="475" t="s">
        <v>52</v>
      </c>
      <c r="BY16" s="476" t="s">
        <v>52</v>
      </c>
      <c r="BZ16" s="469" t="s">
        <v>52</v>
      </c>
      <c r="CA16" s="470" t="s">
        <v>52</v>
      </c>
      <c r="CB16" s="463"/>
      <c r="CC16" s="465" t="s">
        <v>52</v>
      </c>
      <c r="CD16" s="477" t="s">
        <v>52</v>
      </c>
      <c r="CE16" s="474" t="s">
        <v>52</v>
      </c>
      <c r="CF16" s="478" t="s">
        <v>52</v>
      </c>
      <c r="CG16" s="469" t="s">
        <v>52</v>
      </c>
      <c r="CH16" s="470" t="s">
        <v>52</v>
      </c>
    </row>
    <row r="17" spans="2:87" s="333" customFormat="1" ht="15.75" thickBot="1" x14ac:dyDescent="0.3">
      <c r="B17" s="394" t="s">
        <v>77</v>
      </c>
      <c r="C17" s="395" t="s">
        <v>82</v>
      </c>
      <c r="D17" s="662">
        <f>Z17</f>
        <v>58659</v>
      </c>
      <c r="E17" s="663">
        <f>AI17</f>
        <v>20000</v>
      </c>
      <c r="F17" s="677">
        <v>12913</v>
      </c>
      <c r="G17" s="688">
        <f>E17-F17</f>
        <v>7087</v>
      </c>
      <c r="H17" s="667">
        <f>D17+E17</f>
        <v>78659</v>
      </c>
      <c r="I17" s="424"/>
      <c r="J17" s="396">
        <v>42772</v>
      </c>
      <c r="K17" s="397">
        <v>80423</v>
      </c>
      <c r="L17" s="398">
        <v>42794</v>
      </c>
      <c r="M17" s="399">
        <v>42822</v>
      </c>
      <c r="N17" s="425">
        <v>0</v>
      </c>
      <c r="O17" s="426">
        <v>0</v>
      </c>
      <c r="P17" s="523">
        <f t="shared" ref="P17" si="17">IF(O17="","",O17*5/100)</f>
        <v>0</v>
      </c>
      <c r="Q17" s="400" t="s">
        <v>54</v>
      </c>
      <c r="R17" s="401" t="s">
        <v>109</v>
      </c>
      <c r="S17" s="437">
        <v>0</v>
      </c>
      <c r="T17" s="426">
        <v>0</v>
      </c>
      <c r="U17" s="523">
        <f t="shared" ref="U17" si="18">IF(T17="","",T17*5/100)</f>
        <v>0</v>
      </c>
      <c r="V17" s="424"/>
      <c r="W17" s="427">
        <f>$W$5*AO17+$W$5*2*AP17+$W$5*3*AQ17</f>
        <v>58658.587843463778</v>
      </c>
      <c r="X17" s="533">
        <f>-W17*P17</f>
        <v>0</v>
      </c>
      <c r="Y17" s="428">
        <f>W17+X17</f>
        <v>58658.587843463778</v>
      </c>
      <c r="Z17" s="429">
        <f>ROUND(Y17,0)</f>
        <v>58659</v>
      </c>
      <c r="AA17" s="424"/>
      <c r="AB17" s="430">
        <f>SUM(BC17,BO17,CA17,CH17)</f>
        <v>77.188589631740356</v>
      </c>
      <c r="AC17" s="431">
        <f>(AB17/($AB$37/21))-1</f>
        <v>0.38352452433652218</v>
      </c>
      <c r="AD17" s="432">
        <f>AB17*AK17</f>
        <v>20223.410483515974</v>
      </c>
      <c r="AE17" s="433">
        <f>AD17/$AD$37</f>
        <v>0.12657252320250192</v>
      </c>
      <c r="AF17" s="434">
        <f>ROUND(AE17*$AF$40,0)</f>
        <v>20000</v>
      </c>
      <c r="AG17" s="332">
        <f>-AF17*U17</f>
        <v>0</v>
      </c>
      <c r="AH17" s="435">
        <f t="shared" si="4"/>
        <v>20000</v>
      </c>
      <c r="AI17" s="436">
        <f t="shared" si="5"/>
        <v>20000</v>
      </c>
      <c r="AJ17" s="60"/>
      <c r="AK17" s="532">
        <f>AL17+AN17</f>
        <v>262</v>
      </c>
      <c r="AL17" s="402">
        <v>257</v>
      </c>
      <c r="AM17" s="402">
        <v>2</v>
      </c>
      <c r="AN17" s="403">
        <v>5</v>
      </c>
      <c r="AO17" s="404">
        <v>71</v>
      </c>
      <c r="AP17" s="405">
        <v>22</v>
      </c>
      <c r="AQ17" s="406">
        <v>169</v>
      </c>
      <c r="AR17" s="60"/>
      <c r="AS17" s="407">
        <v>242</v>
      </c>
      <c r="AT17" s="588">
        <f>AK17</f>
        <v>262</v>
      </c>
      <c r="AU17" s="408">
        <f>AT17-AS17</f>
        <v>20</v>
      </c>
      <c r="AV17" s="409">
        <f>AU17/AS17</f>
        <v>8.2644628099173556E-2</v>
      </c>
      <c r="AW17" s="60"/>
      <c r="AX17" s="407">
        <v>143</v>
      </c>
      <c r="AY17" s="588">
        <f>AQ17</f>
        <v>169</v>
      </c>
      <c r="AZ17" s="408">
        <f>AY17-AX17</f>
        <v>26</v>
      </c>
      <c r="BA17" s="410">
        <f>AZ17/AX17</f>
        <v>0.18181818181818182</v>
      </c>
      <c r="BB17" s="411">
        <f>100*(BA17-MIN(BA$11:BA$14,BA$17:BA$17,BA$20:BA$27,BA$30:BA$35))/(MAX(BA$11:BA$14,BA$17:BA$17,BA$20:BA$27,BA$30:BA$35)-MIN(BA$11:BA$14,BA$17:BA$17,BA$20:BA$27,BA$30:BA$35))</f>
        <v>78.717732884399553</v>
      </c>
      <c r="BC17" s="412">
        <f>BB17*BC$8</f>
        <v>15.743546576879911</v>
      </c>
      <c r="BD17" s="60"/>
      <c r="BE17" s="560">
        <f>1-BF17</f>
        <v>1</v>
      </c>
      <c r="BF17" s="628">
        <v>0</v>
      </c>
      <c r="BG17" s="651">
        <f>BQ17-BH17</f>
        <v>1</v>
      </c>
      <c r="BH17" s="405">
        <v>0</v>
      </c>
      <c r="BI17" s="560">
        <f>BR17-BJ17</f>
        <v>9</v>
      </c>
      <c r="BJ17" s="405">
        <v>0</v>
      </c>
      <c r="BK17" s="565">
        <f>BS17-BL17</f>
        <v>7</v>
      </c>
      <c r="BL17" s="406">
        <v>0</v>
      </c>
      <c r="BM17" s="414">
        <f>(BE17+BG17+BI17+BK17)/SUM(BE17:BL17)</f>
        <v>1</v>
      </c>
      <c r="BN17" s="411">
        <f>100*(BM17-MIN(BM$11:BM$14,BM$17:BM$17,BM$20:BM$27,BM$30:BM$35))/(MAX(BM$11:BM$14,BM$17:BM$17,BM$20:BM$27,BM$30:BM$35)-MIN(BM$11:BM$14,BM$17:BM$17,BM$20:BM$27,BM$30:BM$35))</f>
        <v>100</v>
      </c>
      <c r="BO17" s="412">
        <f>BN17*BO$8</f>
        <v>45</v>
      </c>
      <c r="BP17" s="60"/>
      <c r="BQ17" s="647">
        <v>1</v>
      </c>
      <c r="BR17" s="550">
        <f>SUM(BS17:BV17)</f>
        <v>9</v>
      </c>
      <c r="BS17" s="415">
        <v>7</v>
      </c>
      <c r="BT17" s="416">
        <v>0</v>
      </c>
      <c r="BU17" s="416">
        <v>2</v>
      </c>
      <c r="BV17" s="406">
        <v>0</v>
      </c>
      <c r="BW17" s="60"/>
      <c r="BX17" s="417">
        <v>21</v>
      </c>
      <c r="BY17" s="418">
        <v>2.8570000000000002</v>
      </c>
      <c r="BZ17" s="418">
        <f>100*(BY17-MIN(BY$11:BY$14,BY$17:BY$17,BY$20:BY$27,BY$30:BY$35))/(MAX(BY$11:BY$14,BY$17:BY$17,BY$20:BY$27,BY$30:BY$35)-MIN(BY$11:BY$14,BY$17:BY$17,BY$20:BY$27,BY$30:BY$35))</f>
        <v>45.411203814064372</v>
      </c>
      <c r="CA17" s="412">
        <f>BZ17*CA$8</f>
        <v>9.0822407628128747</v>
      </c>
      <c r="CB17" s="60"/>
      <c r="CC17" s="407">
        <v>4</v>
      </c>
      <c r="CD17" s="413">
        <v>1255</v>
      </c>
      <c r="CE17" s="555">
        <f>AX17</f>
        <v>143</v>
      </c>
      <c r="CF17" s="419">
        <f>CD17/CE17/100</f>
        <v>8.7762237762237766E-2</v>
      </c>
      <c r="CG17" s="418">
        <f>100*(CF17-MIN(CF$11:CF$14,CF$17:CF$17,CF$20:CF$27,CF$30:CF$35))/(MAX(CF$11:CF$14,CF$17:CF$17,CF$20:CF$27,CF$30:CF$35)-MIN(CF$11:CF$14,CF$17:CF$17,CF$20:CF$27,CF$30:CF$35))</f>
        <v>49.08534861365051</v>
      </c>
      <c r="CH17" s="412">
        <f>CG17*CH$8</f>
        <v>7.3628022920475757</v>
      </c>
    </row>
    <row r="18" spans="2:87" s="3" customFormat="1" ht="7.5" customHeight="1" thickBot="1" x14ac:dyDescent="0.3">
      <c r="B18" s="213"/>
      <c r="C18" s="7"/>
      <c r="D18" s="34"/>
      <c r="E18" s="34"/>
      <c r="F18" s="669"/>
      <c r="G18" s="669"/>
      <c r="H18" s="34"/>
      <c r="I18" s="60"/>
      <c r="J18" s="34"/>
      <c r="K18" s="34"/>
      <c r="L18" s="34"/>
      <c r="M18" s="34"/>
      <c r="N18" s="60"/>
      <c r="O18" s="60"/>
      <c r="P18" s="60"/>
      <c r="Q18" s="34"/>
      <c r="R18" s="34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81"/>
      <c r="AO18" s="82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82"/>
      <c r="BF18" s="82"/>
      <c r="BG18" s="82"/>
      <c r="BH18" s="60"/>
      <c r="BI18" s="82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293"/>
      <c r="BY18" s="291"/>
      <c r="BZ18" s="60"/>
      <c r="CA18" s="60"/>
      <c r="CB18" s="60"/>
      <c r="CC18" s="60"/>
      <c r="CD18" s="60"/>
      <c r="CE18" s="60"/>
      <c r="CF18" s="60"/>
      <c r="CG18" s="60"/>
      <c r="CH18" s="60"/>
    </row>
    <row r="19" spans="2:87" s="446" customFormat="1" ht="15" x14ac:dyDescent="0.25">
      <c r="B19" s="128" t="s">
        <v>52</v>
      </c>
      <c r="C19" s="231" t="s">
        <v>98</v>
      </c>
      <c r="D19" s="233" t="s">
        <v>52</v>
      </c>
      <c r="E19" s="235" t="s">
        <v>52</v>
      </c>
      <c r="F19" s="678" t="s">
        <v>52</v>
      </c>
      <c r="G19" s="689" t="s">
        <v>52</v>
      </c>
      <c r="H19" s="237" t="s">
        <v>52</v>
      </c>
      <c r="I19" s="132"/>
      <c r="J19" s="42" t="s">
        <v>52</v>
      </c>
      <c r="K19" s="51" t="s">
        <v>52</v>
      </c>
      <c r="L19" s="51" t="s">
        <v>52</v>
      </c>
      <c r="M19" s="43" t="s">
        <v>52</v>
      </c>
      <c r="N19" s="83" t="s">
        <v>52</v>
      </c>
      <c r="O19" s="84" t="s">
        <v>52</v>
      </c>
      <c r="P19" s="84" t="s">
        <v>52</v>
      </c>
      <c r="Q19" s="42" t="s">
        <v>52</v>
      </c>
      <c r="R19" s="166" t="s">
        <v>52</v>
      </c>
      <c r="S19" s="167" t="s">
        <v>52</v>
      </c>
      <c r="T19" s="84" t="s">
        <v>52</v>
      </c>
      <c r="U19" s="84" t="s">
        <v>52</v>
      </c>
      <c r="V19" s="132"/>
      <c r="W19" s="138" t="s">
        <v>52</v>
      </c>
      <c r="X19" s="154" t="s">
        <v>52</v>
      </c>
      <c r="Y19" s="154" t="s">
        <v>52</v>
      </c>
      <c r="Z19" s="222" t="s">
        <v>52</v>
      </c>
      <c r="AA19" s="132"/>
      <c r="AB19" s="138" t="s">
        <v>52</v>
      </c>
      <c r="AC19" s="85" t="s">
        <v>52</v>
      </c>
      <c r="AD19" s="154" t="s">
        <v>52</v>
      </c>
      <c r="AE19" s="222" t="s">
        <v>52</v>
      </c>
      <c r="AF19" s="330" t="s">
        <v>52</v>
      </c>
      <c r="AG19" s="154" t="s">
        <v>52</v>
      </c>
      <c r="AH19" s="154" t="s">
        <v>52</v>
      </c>
      <c r="AI19" s="222" t="s">
        <v>52</v>
      </c>
      <c r="AJ19" s="142"/>
      <c r="AK19" s="138" t="s">
        <v>52</v>
      </c>
      <c r="AL19" s="85" t="s">
        <v>52</v>
      </c>
      <c r="AM19" s="85" t="s">
        <v>52</v>
      </c>
      <c r="AN19" s="86" t="s">
        <v>52</v>
      </c>
      <c r="AO19" s="87" t="s">
        <v>52</v>
      </c>
      <c r="AP19" s="88" t="s">
        <v>52</v>
      </c>
      <c r="AQ19" s="89" t="s">
        <v>52</v>
      </c>
      <c r="AR19" s="142"/>
      <c r="AS19" s="188" t="s">
        <v>52</v>
      </c>
      <c r="AT19" s="340" t="s">
        <v>52</v>
      </c>
      <c r="AU19" s="179" t="s">
        <v>52</v>
      </c>
      <c r="AV19" s="89" t="s">
        <v>52</v>
      </c>
      <c r="AW19" s="142"/>
      <c r="AX19" s="188" t="s">
        <v>52</v>
      </c>
      <c r="AY19" s="340" t="s">
        <v>52</v>
      </c>
      <c r="AZ19" s="179" t="s">
        <v>52</v>
      </c>
      <c r="BA19" s="111" t="s">
        <v>52</v>
      </c>
      <c r="BB19" s="120" t="s">
        <v>52</v>
      </c>
      <c r="BC19" s="86" t="s">
        <v>52</v>
      </c>
      <c r="BD19" s="142"/>
      <c r="BE19" s="194" t="s">
        <v>52</v>
      </c>
      <c r="BF19" s="629" t="s">
        <v>52</v>
      </c>
      <c r="BG19" s="638" t="s">
        <v>52</v>
      </c>
      <c r="BH19" s="88" t="s">
        <v>52</v>
      </c>
      <c r="BI19" s="194" t="s">
        <v>52</v>
      </c>
      <c r="BJ19" s="88" t="s">
        <v>52</v>
      </c>
      <c r="BK19" s="104" t="s">
        <v>52</v>
      </c>
      <c r="BL19" s="89" t="s">
        <v>52</v>
      </c>
      <c r="BM19" s="120" t="s">
        <v>52</v>
      </c>
      <c r="BN19" s="120" t="s">
        <v>52</v>
      </c>
      <c r="BO19" s="86" t="s">
        <v>52</v>
      </c>
      <c r="BP19" s="142"/>
      <c r="BQ19" s="643" t="s">
        <v>52</v>
      </c>
      <c r="BR19" s="120" t="s">
        <v>52</v>
      </c>
      <c r="BS19" s="117" t="s">
        <v>52</v>
      </c>
      <c r="BT19" s="111" t="s">
        <v>52</v>
      </c>
      <c r="BU19" s="340" t="s">
        <v>52</v>
      </c>
      <c r="BV19" s="89" t="s">
        <v>52</v>
      </c>
      <c r="BW19" s="142"/>
      <c r="BX19" s="302" t="s">
        <v>52</v>
      </c>
      <c r="BY19" s="303" t="s">
        <v>52</v>
      </c>
      <c r="BZ19" s="120" t="s">
        <v>52</v>
      </c>
      <c r="CA19" s="86" t="s">
        <v>52</v>
      </c>
      <c r="CB19" s="142"/>
      <c r="CC19" s="188" t="s">
        <v>52</v>
      </c>
      <c r="CD19" s="104" t="s">
        <v>52</v>
      </c>
      <c r="CE19" s="111" t="str">
        <f t="shared" ref="CE19:CE27" si="19">AX19</f>
        <v>---</v>
      </c>
      <c r="CF19" s="204" t="s">
        <v>52</v>
      </c>
      <c r="CG19" s="120" t="s">
        <v>52</v>
      </c>
      <c r="CH19" s="86" t="s">
        <v>52</v>
      </c>
    </row>
    <row r="20" spans="2:87" s="3" customFormat="1" ht="15" x14ac:dyDescent="0.25">
      <c r="B20" s="210" t="s">
        <v>58</v>
      </c>
      <c r="C20" s="228" t="s">
        <v>83</v>
      </c>
      <c r="D20" s="656">
        <f>Z20</f>
        <v>19804</v>
      </c>
      <c r="E20" s="657">
        <f>AI20</f>
        <v>4492</v>
      </c>
      <c r="F20" s="673">
        <v>2900</v>
      </c>
      <c r="G20" s="684">
        <f t="shared" ref="G20:G27" si="20">E20-F20</f>
        <v>1592</v>
      </c>
      <c r="H20" s="254">
        <f t="shared" ref="H20:H27" si="21">D20+E20</f>
        <v>24296</v>
      </c>
      <c r="I20" s="130"/>
      <c r="J20" s="52">
        <v>42766</v>
      </c>
      <c r="K20" s="48">
        <v>34454</v>
      </c>
      <c r="L20" s="36">
        <v>42783</v>
      </c>
      <c r="M20" s="36">
        <v>42824</v>
      </c>
      <c r="N20" s="60">
        <v>0</v>
      </c>
      <c r="O20" s="61">
        <v>0</v>
      </c>
      <c r="P20" s="521">
        <f>IF(O20="","",O20*5/100)</f>
        <v>0</v>
      </c>
      <c r="Q20" s="52" t="s">
        <v>54</v>
      </c>
      <c r="R20" s="168" t="s">
        <v>109</v>
      </c>
      <c r="S20" s="169">
        <v>0</v>
      </c>
      <c r="T20" s="61">
        <v>0</v>
      </c>
      <c r="U20" s="521">
        <f>IF(T20="","",T20*5/100)</f>
        <v>0</v>
      </c>
      <c r="V20" s="130"/>
      <c r="W20" s="147">
        <f>$W$5*AO20+$W$5*2*AP20+$W$5*3*AQ20</f>
        <v>19804.346378018316</v>
      </c>
      <c r="X20" s="265">
        <f>-W20*P20</f>
        <v>0</v>
      </c>
      <c r="Y20" s="265">
        <f>W20+X20</f>
        <v>19804.346378018316</v>
      </c>
      <c r="Z20" s="271">
        <f>ROUND(Y20,0)</f>
        <v>19804</v>
      </c>
      <c r="AA20" s="130"/>
      <c r="AB20" s="306">
        <f t="shared" ref="AB20:AB27" si="22">SUM(BC20,BO20,CA20,CH20)</f>
        <v>44.094243823572945</v>
      </c>
      <c r="AC20" s="307">
        <f t="shared" ref="AC20:AC27" si="23">(AB20/($AB$37/21))-1</f>
        <v>-0.20965691946129794</v>
      </c>
      <c r="AD20" s="308">
        <f t="shared" ref="AD20:AD27" si="24">AB20*AK20</f>
        <v>4541.7071138280135</v>
      </c>
      <c r="AE20" s="309">
        <f t="shared" ref="AE20:AE27" si="25">AD20/$AD$37</f>
        <v>2.842524160366159E-2</v>
      </c>
      <c r="AF20" s="310">
        <f t="shared" ref="AF20:AF27" si="26">ROUND(AE20*$AF$40,0)</f>
        <v>4492</v>
      </c>
      <c r="AG20" s="265">
        <f t="shared" ref="AG20:AG27" si="27">-AF20*U20</f>
        <v>0</v>
      </c>
      <c r="AH20" s="265">
        <f t="shared" si="4"/>
        <v>4492</v>
      </c>
      <c r="AI20" s="271">
        <f t="shared" si="5"/>
        <v>4492</v>
      </c>
      <c r="AJ20" s="60"/>
      <c r="AK20" s="529">
        <f>AL20+AN20</f>
        <v>103</v>
      </c>
      <c r="AL20" s="286">
        <v>98</v>
      </c>
      <c r="AM20" s="62">
        <v>1</v>
      </c>
      <c r="AN20" s="63">
        <v>5</v>
      </c>
      <c r="AO20" s="64">
        <v>45</v>
      </c>
      <c r="AP20" s="65">
        <v>9</v>
      </c>
      <c r="AQ20" s="66">
        <v>49</v>
      </c>
      <c r="AR20" s="60"/>
      <c r="AS20" s="185">
        <v>108</v>
      </c>
      <c r="AT20" s="589">
        <f t="shared" ref="AT20:AT27" si="28">AK20</f>
        <v>103</v>
      </c>
      <c r="AU20" s="181">
        <f>AT20-AS20</f>
        <v>-5</v>
      </c>
      <c r="AV20" s="287">
        <f>AU20/AS20</f>
        <v>-4.6296296296296294E-2</v>
      </c>
      <c r="AW20" s="60"/>
      <c r="AX20" s="185">
        <v>47</v>
      </c>
      <c r="AY20" s="589">
        <f t="shared" ref="AY20:AY27" si="29">AQ20</f>
        <v>49</v>
      </c>
      <c r="AZ20" s="181">
        <f>AY20-AX20</f>
        <v>2</v>
      </c>
      <c r="BA20" s="196">
        <f>AZ20/AX20</f>
        <v>4.2553191489361701E-2</v>
      </c>
      <c r="BB20" s="223">
        <f t="shared" ref="BB20:BB27" si="30">100*(BA20-MIN(BA$11:BA$14,BA$17:BA$17,BA$20:BA$27,BA$30:BA$35))/(MAX(BA$11:BA$14,BA$17:BA$17,BA$20:BA$27,BA$30:BA$35)-MIN(BA$11:BA$14,BA$17:BA$17,BA$20:BA$27,BA$30:BA$35))</f>
        <v>51.402022589965846</v>
      </c>
      <c r="BC20" s="277">
        <f>BB20*BC$8</f>
        <v>10.280404517993169</v>
      </c>
      <c r="BD20" s="60"/>
      <c r="BE20" s="557">
        <f>1-BF20</f>
        <v>0</v>
      </c>
      <c r="BF20" s="82">
        <v>1</v>
      </c>
      <c r="BG20" s="648">
        <f>BQ20-BH20</f>
        <v>0</v>
      </c>
      <c r="BH20" s="65">
        <v>1</v>
      </c>
      <c r="BI20" s="557">
        <f t="shared" ref="BI20:BI27" si="31">BR20-BJ20</f>
        <v>3</v>
      </c>
      <c r="BJ20" s="65">
        <v>3</v>
      </c>
      <c r="BK20" s="562">
        <f t="shared" ref="BK20:BK27" si="32">BS20-BL20</f>
        <v>3</v>
      </c>
      <c r="BL20" s="66">
        <v>1</v>
      </c>
      <c r="BM20" s="200">
        <f>(BE20+BG20+BI20+BK20)/SUM(BE20:BL20)</f>
        <v>0.5</v>
      </c>
      <c r="BN20" s="223">
        <f t="shared" ref="BN20:BN27" si="33">100*(BM20-MIN(BM$11:BM$14,BM$17:BM$17,BM$20:BM$27,BM$30:BM$35))/(MAX(BM$11:BM$14,BM$17:BM$17,BM$20:BM$27,BM$30:BM$35)-MIN(BM$11:BM$14,BM$17:BM$17,BM$20:BM$27,BM$30:BM$35))</f>
        <v>25</v>
      </c>
      <c r="BO20" s="277">
        <f>BN20*BO$8</f>
        <v>11.25</v>
      </c>
      <c r="BP20" s="60"/>
      <c r="BQ20" s="645">
        <v>1</v>
      </c>
      <c r="BR20" s="547">
        <f t="shared" ref="BR20:BR27" si="34">SUM(BS20:BV20)</f>
        <v>6</v>
      </c>
      <c r="BS20" s="114">
        <v>4</v>
      </c>
      <c r="BT20" s="108">
        <v>1</v>
      </c>
      <c r="BU20" s="108">
        <v>1</v>
      </c>
      <c r="BV20" s="106">
        <v>0</v>
      </c>
      <c r="BW20" s="60"/>
      <c r="BX20" s="296">
        <v>8</v>
      </c>
      <c r="BY20" s="297">
        <v>4.625</v>
      </c>
      <c r="BZ20" s="215">
        <f t="shared" ref="BZ20:BZ27" si="35">100*(BY20-MIN(BY$11:BY$14,BY$17:BY$17,BY$20:BY$27,BY$30:BY$35))/(MAX(BY$11:BY$14,BY$17:BY$17,BY$20:BY$27,BY$30:BY$35)-MIN(BY$11:BY$14,BY$17:BY$17,BY$20:BY$27,BY$30:BY$35))</f>
        <v>98.092967818831937</v>
      </c>
      <c r="CA20" s="277">
        <f>BZ20*CA$8</f>
        <v>19.618593563766389</v>
      </c>
      <c r="CB20" s="60"/>
      <c r="CC20" s="185">
        <v>1</v>
      </c>
      <c r="CD20" s="209">
        <v>165</v>
      </c>
      <c r="CE20" s="552">
        <f t="shared" si="19"/>
        <v>47</v>
      </c>
      <c r="CF20" s="205">
        <f>CD20/CE20/100</f>
        <v>3.5106382978723399E-2</v>
      </c>
      <c r="CG20" s="215">
        <f t="shared" ref="CG20:CG27" si="36">100*(CF20-MIN(CF$11:CF$14,CF$17:CF$17,CF$20:CF$27,CF$30:CF$35))/(MAX(CF$11:CF$14,CF$17:CF$17,CF$20:CF$27,CF$30:CF$35)-MIN(CF$11:CF$14,CF$17:CF$17,CF$20:CF$27,CF$30:CF$35))</f>
        <v>19.634971612089235</v>
      </c>
      <c r="CH20" s="277">
        <f>CG20*CH$8</f>
        <v>2.9452457418133853</v>
      </c>
    </row>
    <row r="21" spans="2:87" s="3" customFormat="1" ht="15" x14ac:dyDescent="0.25">
      <c r="B21" s="211" t="s">
        <v>59</v>
      </c>
      <c r="C21" s="229" t="s">
        <v>84</v>
      </c>
      <c r="D21" s="664">
        <f>Z21</f>
        <v>45173</v>
      </c>
      <c r="E21" s="665">
        <f>AI21</f>
        <v>13866</v>
      </c>
      <c r="F21" s="679">
        <v>8953</v>
      </c>
      <c r="G21" s="690">
        <f t="shared" si="20"/>
        <v>4913</v>
      </c>
      <c r="H21" s="255">
        <f t="shared" si="21"/>
        <v>59039</v>
      </c>
      <c r="I21" s="130"/>
      <c r="J21" s="44">
        <v>42766</v>
      </c>
      <c r="K21" s="49">
        <v>59804</v>
      </c>
      <c r="L21" s="46">
        <v>42793</v>
      </c>
      <c r="M21" s="46">
        <v>42848</v>
      </c>
      <c r="N21" s="67">
        <v>0</v>
      </c>
      <c r="O21" s="68">
        <v>0</v>
      </c>
      <c r="P21" s="522">
        <f t="shared" ref="P21:P27" si="37">IF(O21="","",O21*5/100)</f>
        <v>0</v>
      </c>
      <c r="Q21" s="44" t="s">
        <v>54</v>
      </c>
      <c r="R21" s="171" t="s">
        <v>109</v>
      </c>
      <c r="S21" s="136">
        <v>0</v>
      </c>
      <c r="T21" s="68">
        <v>0</v>
      </c>
      <c r="U21" s="524">
        <f t="shared" ref="U21:U27" si="38">IF(T21="","",T21*5/100)</f>
        <v>0</v>
      </c>
      <c r="V21" s="130"/>
      <c r="W21" s="148">
        <f t="shared" ref="W21:W27" si="39">$W$5*AO21+$W$5*2*AP21+$W$5*3*AQ21</f>
        <v>45172.771024146539</v>
      </c>
      <c r="X21" s="331">
        <f t="shared" ref="X21:X27" si="40">-W21*P21</f>
        <v>0</v>
      </c>
      <c r="Y21" s="266">
        <f t="shared" ref="Y21:Y27" si="41">W21+X21</f>
        <v>45172.771024146539</v>
      </c>
      <c r="Z21" s="272">
        <f t="shared" ref="Z21:Z27" si="42">ROUND(Y21,0)</f>
        <v>45173</v>
      </c>
      <c r="AA21" s="130"/>
      <c r="AB21" s="311">
        <f t="shared" si="22"/>
        <v>74.579545393601876</v>
      </c>
      <c r="AC21" s="312">
        <f t="shared" si="23"/>
        <v>0.33676014237586038</v>
      </c>
      <c r="AD21" s="313">
        <f t="shared" si="24"/>
        <v>14020.954533997152</v>
      </c>
      <c r="AE21" s="314">
        <f t="shared" si="25"/>
        <v>8.7753131180425964E-2</v>
      </c>
      <c r="AF21" s="315">
        <f t="shared" si="26"/>
        <v>13866</v>
      </c>
      <c r="AG21" s="331">
        <f t="shared" si="27"/>
        <v>0</v>
      </c>
      <c r="AH21" s="266">
        <f t="shared" si="4"/>
        <v>13866</v>
      </c>
      <c r="AI21" s="272">
        <f t="shared" si="5"/>
        <v>13866</v>
      </c>
      <c r="AJ21" s="60"/>
      <c r="AK21" s="530">
        <f>AL21+AN21</f>
        <v>188</v>
      </c>
      <c r="AL21" s="69">
        <v>188</v>
      </c>
      <c r="AM21" s="69">
        <v>1</v>
      </c>
      <c r="AN21" s="70">
        <v>0</v>
      </c>
      <c r="AO21" s="71">
        <v>33</v>
      </c>
      <c r="AP21" s="72">
        <v>19</v>
      </c>
      <c r="AQ21" s="73">
        <v>136</v>
      </c>
      <c r="AR21" s="60"/>
      <c r="AS21" s="186">
        <v>172</v>
      </c>
      <c r="AT21" s="583">
        <f t="shared" si="28"/>
        <v>188</v>
      </c>
      <c r="AU21" s="182">
        <f t="shared" ref="AU21:AU27" si="43">AT21-AS21</f>
        <v>16</v>
      </c>
      <c r="AV21" s="288">
        <f t="shared" ref="AV21:AV27" si="44">AU21/AS21</f>
        <v>9.3023255813953487E-2</v>
      </c>
      <c r="AW21" s="60"/>
      <c r="AX21" s="186">
        <v>129</v>
      </c>
      <c r="AY21" s="583">
        <f t="shared" si="29"/>
        <v>136</v>
      </c>
      <c r="AZ21" s="182">
        <f t="shared" ref="AZ21:AZ27" si="45">AY21-AX21</f>
        <v>7</v>
      </c>
      <c r="BA21" s="197">
        <f t="shared" ref="BA21:BA27" si="46">AZ21/AX21</f>
        <v>5.4263565891472867E-2</v>
      </c>
      <c r="BB21" s="224">
        <f t="shared" si="30"/>
        <v>53.69891855679969</v>
      </c>
      <c r="BC21" s="278">
        <f t="shared" ref="BC21:BC27" si="47">BB21*BC$8</f>
        <v>10.739783711359939</v>
      </c>
      <c r="BD21" s="60"/>
      <c r="BE21" s="558">
        <f t="shared" ref="BE21:BE27" si="48">1-BF21</f>
        <v>1</v>
      </c>
      <c r="BF21" s="625">
        <v>0</v>
      </c>
      <c r="BG21" s="649">
        <f t="shared" ref="BG21:BG27" si="49">BQ21-BH21</f>
        <v>1</v>
      </c>
      <c r="BH21" s="72">
        <v>0</v>
      </c>
      <c r="BI21" s="558">
        <f t="shared" si="31"/>
        <v>6</v>
      </c>
      <c r="BJ21" s="72">
        <v>0</v>
      </c>
      <c r="BK21" s="563">
        <f t="shared" si="32"/>
        <v>4</v>
      </c>
      <c r="BL21" s="596">
        <v>0</v>
      </c>
      <c r="BM21" s="200">
        <f t="shared" ref="BM21:BM27" si="50">(BE21+BG21+BI21+BK21)/SUM(BE21:BL21)</f>
        <v>1</v>
      </c>
      <c r="BN21" s="224">
        <f t="shared" si="33"/>
        <v>100</v>
      </c>
      <c r="BO21" s="278">
        <f t="shared" ref="BO21:BO27" si="51">BN21*BO$8</f>
        <v>45</v>
      </c>
      <c r="BP21" s="60"/>
      <c r="BQ21" s="646">
        <v>1</v>
      </c>
      <c r="BR21" s="548">
        <f t="shared" si="34"/>
        <v>6</v>
      </c>
      <c r="BS21" s="115">
        <v>4</v>
      </c>
      <c r="BT21" s="109">
        <v>2</v>
      </c>
      <c r="BU21" s="109">
        <v>0</v>
      </c>
      <c r="BV21" s="73">
        <v>0</v>
      </c>
      <c r="BW21" s="60"/>
      <c r="BX21" s="298">
        <v>18</v>
      </c>
      <c r="BY21" s="299">
        <v>3.056</v>
      </c>
      <c r="BZ21" s="216">
        <f t="shared" si="35"/>
        <v>51.340882002383793</v>
      </c>
      <c r="CA21" s="278">
        <f t="shared" ref="CA21:CA27" si="52">BZ21*CA$8</f>
        <v>10.26817640047676</v>
      </c>
      <c r="CB21" s="60"/>
      <c r="CC21" s="186">
        <v>5</v>
      </c>
      <c r="CD21" s="102">
        <v>1318</v>
      </c>
      <c r="CE21" s="553">
        <f t="shared" si="19"/>
        <v>129</v>
      </c>
      <c r="CF21" s="206">
        <f t="shared" ref="CF21:CF27" si="53">CD21/CE21/100</f>
        <v>0.10217054263565892</v>
      </c>
      <c r="CG21" s="216">
        <f t="shared" si="36"/>
        <v>57.143901878434576</v>
      </c>
      <c r="CH21" s="278">
        <f t="shared" ref="CH21:CH27" si="54">CG21*CH$8</f>
        <v>8.5715852817651861</v>
      </c>
    </row>
    <row r="22" spans="2:87" s="3" customFormat="1" ht="15" x14ac:dyDescent="0.25">
      <c r="B22" s="211" t="s">
        <v>60</v>
      </c>
      <c r="C22" s="229" t="s">
        <v>85</v>
      </c>
      <c r="D22" s="664">
        <f t="shared" ref="D22:D27" si="55">Z22</f>
        <v>35176</v>
      </c>
      <c r="E22" s="665">
        <f t="shared" ref="E22:E27" si="56">AI22</f>
        <v>12720</v>
      </c>
      <c r="F22" s="679">
        <v>8213</v>
      </c>
      <c r="G22" s="690">
        <f t="shared" si="20"/>
        <v>4507</v>
      </c>
      <c r="H22" s="255">
        <f t="shared" si="21"/>
        <v>47896</v>
      </c>
      <c r="I22" s="536"/>
      <c r="J22" s="170">
        <v>42766</v>
      </c>
      <c r="K22" s="49">
        <v>55119</v>
      </c>
      <c r="L22" s="46">
        <v>42772</v>
      </c>
      <c r="M22" s="46">
        <v>42840</v>
      </c>
      <c r="N22" s="283">
        <v>0</v>
      </c>
      <c r="O22" s="173">
        <v>0</v>
      </c>
      <c r="P22" s="522">
        <f t="shared" si="37"/>
        <v>0</v>
      </c>
      <c r="Q22" s="170" t="s">
        <v>54</v>
      </c>
      <c r="R22" s="171" t="s">
        <v>109</v>
      </c>
      <c r="S22" s="172">
        <v>0</v>
      </c>
      <c r="T22" s="173">
        <v>0</v>
      </c>
      <c r="U22" s="522">
        <f t="shared" si="38"/>
        <v>0</v>
      </c>
      <c r="V22" s="536"/>
      <c r="W22" s="148">
        <f t="shared" si="39"/>
        <v>35176.291423813484</v>
      </c>
      <c r="X22" s="266">
        <f>-W22*P22</f>
        <v>0</v>
      </c>
      <c r="Y22" s="266">
        <f t="shared" si="41"/>
        <v>35176.291423813484</v>
      </c>
      <c r="Z22" s="272">
        <f t="shared" si="42"/>
        <v>35176</v>
      </c>
      <c r="AA22" s="536"/>
      <c r="AB22" s="311">
        <f t="shared" si="22"/>
        <v>79.888385726481857</v>
      </c>
      <c r="AC22" s="312">
        <f t="shared" si="23"/>
        <v>0.43191553815868544</v>
      </c>
      <c r="AD22" s="313">
        <f t="shared" si="24"/>
        <v>12862.030101963579</v>
      </c>
      <c r="AE22" s="314">
        <f t="shared" si="25"/>
        <v>8.0499755708317508E-2</v>
      </c>
      <c r="AF22" s="315">
        <f t="shared" si="26"/>
        <v>12720</v>
      </c>
      <c r="AG22" s="266">
        <f t="shared" si="27"/>
        <v>0</v>
      </c>
      <c r="AH22" s="266">
        <f t="shared" si="4"/>
        <v>12720</v>
      </c>
      <c r="AI22" s="272">
        <f t="shared" si="5"/>
        <v>12720</v>
      </c>
      <c r="AJ22" s="60"/>
      <c r="AK22" s="530">
        <f t="shared" ref="AK22:AK27" si="57">AL22+AN22</f>
        <v>161</v>
      </c>
      <c r="AL22" s="69">
        <v>161</v>
      </c>
      <c r="AM22" s="69">
        <v>0</v>
      </c>
      <c r="AN22" s="70">
        <v>0</v>
      </c>
      <c r="AO22" s="71">
        <v>44</v>
      </c>
      <c r="AP22" s="72">
        <v>22</v>
      </c>
      <c r="AQ22" s="73">
        <v>95</v>
      </c>
      <c r="AR22" s="60"/>
      <c r="AS22" s="186">
        <v>142</v>
      </c>
      <c r="AT22" s="583">
        <f t="shared" si="28"/>
        <v>161</v>
      </c>
      <c r="AU22" s="182">
        <f t="shared" si="43"/>
        <v>19</v>
      </c>
      <c r="AV22" s="288">
        <f t="shared" si="44"/>
        <v>0.13380281690140844</v>
      </c>
      <c r="AW22" s="60"/>
      <c r="AX22" s="186">
        <v>83</v>
      </c>
      <c r="AY22" s="583">
        <f t="shared" si="29"/>
        <v>95</v>
      </c>
      <c r="AZ22" s="182">
        <f t="shared" si="45"/>
        <v>12</v>
      </c>
      <c r="BA22" s="197">
        <f t="shared" si="46"/>
        <v>0.14457831325301204</v>
      </c>
      <c r="BB22" s="224">
        <f t="shared" si="30"/>
        <v>71.413431503792935</v>
      </c>
      <c r="BC22" s="278">
        <f t="shared" si="47"/>
        <v>14.282686300758588</v>
      </c>
      <c r="BD22" s="60"/>
      <c r="BE22" s="558">
        <f t="shared" si="48"/>
        <v>1</v>
      </c>
      <c r="BF22" s="625">
        <v>0</v>
      </c>
      <c r="BG22" s="649">
        <f t="shared" si="49"/>
        <v>1</v>
      </c>
      <c r="BH22" s="72">
        <v>0</v>
      </c>
      <c r="BI22" s="558">
        <f t="shared" si="31"/>
        <v>5</v>
      </c>
      <c r="BJ22" s="72">
        <v>0</v>
      </c>
      <c r="BK22" s="563">
        <f t="shared" si="32"/>
        <v>2</v>
      </c>
      <c r="BL22" s="594">
        <v>2</v>
      </c>
      <c r="BM22" s="200">
        <f t="shared" si="50"/>
        <v>0.81818181818181823</v>
      </c>
      <c r="BN22" s="224">
        <f t="shared" si="33"/>
        <v>72.727272727272734</v>
      </c>
      <c r="BO22" s="278">
        <f t="shared" si="51"/>
        <v>32.727272727272734</v>
      </c>
      <c r="BP22" s="60"/>
      <c r="BQ22" s="646">
        <v>1</v>
      </c>
      <c r="BR22" s="548">
        <f t="shared" si="34"/>
        <v>5</v>
      </c>
      <c r="BS22" s="115">
        <v>4</v>
      </c>
      <c r="BT22" s="109">
        <v>0</v>
      </c>
      <c r="BU22" s="109">
        <v>1</v>
      </c>
      <c r="BV22" s="73">
        <v>0</v>
      </c>
      <c r="BW22" s="60"/>
      <c r="BX22" s="298">
        <v>12</v>
      </c>
      <c r="BY22" s="299">
        <v>4.3330000000000002</v>
      </c>
      <c r="BZ22" s="216">
        <f t="shared" si="35"/>
        <v>89.392133492252682</v>
      </c>
      <c r="CA22" s="278">
        <f t="shared" si="52"/>
        <v>17.878426698450536</v>
      </c>
      <c r="CB22" s="60"/>
      <c r="CC22" s="186">
        <v>2</v>
      </c>
      <c r="CD22" s="102">
        <v>1484</v>
      </c>
      <c r="CE22" s="553">
        <f t="shared" si="19"/>
        <v>83</v>
      </c>
      <c r="CF22" s="206">
        <f t="shared" si="53"/>
        <v>0.17879518072289155</v>
      </c>
      <c r="CG22" s="216">
        <f t="shared" si="36"/>
        <v>100</v>
      </c>
      <c r="CH22" s="278">
        <f t="shared" si="54"/>
        <v>15</v>
      </c>
    </row>
    <row r="23" spans="2:87" s="3" customFormat="1" ht="15" x14ac:dyDescent="0.25">
      <c r="B23" s="211" t="s">
        <v>61</v>
      </c>
      <c r="C23" s="229" t="s">
        <v>86</v>
      </c>
      <c r="D23" s="664">
        <f t="shared" si="55"/>
        <v>13769</v>
      </c>
      <c r="E23" s="665">
        <f t="shared" si="56"/>
        <v>3200</v>
      </c>
      <c r="F23" s="679">
        <v>2066</v>
      </c>
      <c r="G23" s="690">
        <f t="shared" si="20"/>
        <v>1134</v>
      </c>
      <c r="H23" s="255">
        <f t="shared" si="21"/>
        <v>16969</v>
      </c>
      <c r="I23" s="130"/>
      <c r="J23" s="44">
        <v>42765</v>
      </c>
      <c r="K23" s="49">
        <v>23950</v>
      </c>
      <c r="L23" s="46">
        <v>42794</v>
      </c>
      <c r="M23" s="282">
        <v>42835</v>
      </c>
      <c r="N23" s="67">
        <v>0</v>
      </c>
      <c r="O23" s="68">
        <v>0</v>
      </c>
      <c r="P23" s="522">
        <f t="shared" si="37"/>
        <v>0</v>
      </c>
      <c r="Q23" s="44" t="s">
        <v>54</v>
      </c>
      <c r="R23" s="171" t="s">
        <v>109</v>
      </c>
      <c r="S23" s="136">
        <v>0</v>
      </c>
      <c r="T23" s="68">
        <v>0</v>
      </c>
      <c r="U23" s="524">
        <f t="shared" si="38"/>
        <v>0</v>
      </c>
      <c r="V23" s="130"/>
      <c r="W23" s="148">
        <f t="shared" si="39"/>
        <v>13768.736053288925</v>
      </c>
      <c r="X23" s="266">
        <f>-W23*P23</f>
        <v>0</v>
      </c>
      <c r="Y23" s="266">
        <f t="shared" si="41"/>
        <v>13768.736053288925</v>
      </c>
      <c r="Z23" s="272">
        <f t="shared" si="42"/>
        <v>13769</v>
      </c>
      <c r="AA23" s="130"/>
      <c r="AB23" s="311">
        <f t="shared" si="22"/>
        <v>43.722739787301848</v>
      </c>
      <c r="AC23" s="312">
        <f t="shared" si="23"/>
        <v>-0.21631573972894691</v>
      </c>
      <c r="AD23" s="313">
        <f t="shared" si="24"/>
        <v>3235.4827442603369</v>
      </c>
      <c r="AE23" s="314">
        <f t="shared" si="25"/>
        <v>2.0249958089560951E-2</v>
      </c>
      <c r="AF23" s="315">
        <f t="shared" si="26"/>
        <v>3200</v>
      </c>
      <c r="AG23" s="266">
        <f t="shared" si="27"/>
        <v>0</v>
      </c>
      <c r="AH23" s="266">
        <f t="shared" si="4"/>
        <v>3200</v>
      </c>
      <c r="AI23" s="272">
        <f t="shared" si="5"/>
        <v>3200</v>
      </c>
      <c r="AJ23" s="60"/>
      <c r="AK23" s="530">
        <f t="shared" si="57"/>
        <v>74</v>
      </c>
      <c r="AL23" s="69">
        <v>74</v>
      </c>
      <c r="AM23" s="69">
        <v>0</v>
      </c>
      <c r="AN23" s="70">
        <v>0</v>
      </c>
      <c r="AO23" s="71">
        <v>34</v>
      </c>
      <c r="AP23" s="72">
        <v>8</v>
      </c>
      <c r="AQ23" s="73">
        <v>32</v>
      </c>
      <c r="AR23" s="60"/>
      <c r="AS23" s="186">
        <v>83</v>
      </c>
      <c r="AT23" s="583">
        <f t="shared" si="28"/>
        <v>74</v>
      </c>
      <c r="AU23" s="182">
        <f t="shared" si="43"/>
        <v>-9</v>
      </c>
      <c r="AV23" s="288">
        <f t="shared" si="44"/>
        <v>-0.10843373493975904</v>
      </c>
      <c r="AW23" s="60"/>
      <c r="AX23" s="186">
        <v>41</v>
      </c>
      <c r="AY23" s="583">
        <f t="shared" si="29"/>
        <v>32</v>
      </c>
      <c r="AZ23" s="182">
        <f t="shared" si="45"/>
        <v>-9</v>
      </c>
      <c r="BA23" s="197">
        <f t="shared" si="46"/>
        <v>-0.21951219512195122</v>
      </c>
      <c r="BB23" s="224">
        <f t="shared" si="30"/>
        <v>0</v>
      </c>
      <c r="BC23" s="278">
        <f t="shared" si="47"/>
        <v>0</v>
      </c>
      <c r="BD23" s="60"/>
      <c r="BE23" s="558">
        <f t="shared" si="48"/>
        <v>1</v>
      </c>
      <c r="BF23" s="625">
        <v>0</v>
      </c>
      <c r="BG23" s="649">
        <f t="shared" si="49"/>
        <v>1</v>
      </c>
      <c r="BH23" s="72">
        <v>0</v>
      </c>
      <c r="BI23" s="558">
        <f t="shared" si="31"/>
        <v>4</v>
      </c>
      <c r="BJ23" s="72">
        <v>0</v>
      </c>
      <c r="BK23" s="563">
        <f t="shared" si="32"/>
        <v>0</v>
      </c>
      <c r="BL23" s="596">
        <v>2</v>
      </c>
      <c r="BM23" s="200">
        <f t="shared" si="50"/>
        <v>0.75</v>
      </c>
      <c r="BN23" s="224">
        <f t="shared" si="33"/>
        <v>62.5</v>
      </c>
      <c r="BO23" s="278">
        <f t="shared" si="51"/>
        <v>28.125</v>
      </c>
      <c r="BP23" s="60"/>
      <c r="BQ23" s="646">
        <v>1</v>
      </c>
      <c r="BR23" s="548">
        <f t="shared" si="34"/>
        <v>4</v>
      </c>
      <c r="BS23" s="115">
        <v>2</v>
      </c>
      <c r="BT23" s="109">
        <v>1</v>
      </c>
      <c r="BU23" s="109">
        <v>1</v>
      </c>
      <c r="BV23" s="73">
        <v>0</v>
      </c>
      <c r="BW23" s="60"/>
      <c r="BX23" s="298">
        <v>11</v>
      </c>
      <c r="BY23" s="299">
        <v>2.3639999999999999</v>
      </c>
      <c r="BZ23" s="216">
        <f t="shared" si="35"/>
        <v>30.721096543504171</v>
      </c>
      <c r="CA23" s="278">
        <f t="shared" si="52"/>
        <v>6.1442193087008343</v>
      </c>
      <c r="CB23" s="60"/>
      <c r="CC23" s="186">
        <v>1</v>
      </c>
      <c r="CD23" s="102">
        <v>462</v>
      </c>
      <c r="CE23" s="553">
        <f t="shared" si="19"/>
        <v>41</v>
      </c>
      <c r="CF23" s="206">
        <f t="shared" si="53"/>
        <v>0.11268292682926828</v>
      </c>
      <c r="CG23" s="216">
        <f t="shared" si="36"/>
        <v>63.023469857340082</v>
      </c>
      <c r="CH23" s="278">
        <f t="shared" si="54"/>
        <v>9.4535204786010123</v>
      </c>
    </row>
    <row r="24" spans="2:87" s="3" customFormat="1" ht="15" x14ac:dyDescent="0.25">
      <c r="B24" s="211" t="s">
        <v>62</v>
      </c>
      <c r="C24" s="229" t="s">
        <v>87</v>
      </c>
      <c r="D24" s="664">
        <f t="shared" si="55"/>
        <v>27443</v>
      </c>
      <c r="E24" s="665">
        <f t="shared" si="56"/>
        <v>9963</v>
      </c>
      <c r="F24" s="679">
        <v>6433</v>
      </c>
      <c r="G24" s="690">
        <f t="shared" si="20"/>
        <v>3530</v>
      </c>
      <c r="H24" s="255">
        <f t="shared" si="21"/>
        <v>37406</v>
      </c>
      <c r="I24" s="130"/>
      <c r="J24" s="44">
        <v>42765</v>
      </c>
      <c r="K24" s="49">
        <v>38100</v>
      </c>
      <c r="L24" s="46">
        <v>42775</v>
      </c>
      <c r="M24" s="46">
        <v>42823</v>
      </c>
      <c r="N24" s="67">
        <v>0</v>
      </c>
      <c r="O24" s="68">
        <v>0</v>
      </c>
      <c r="P24" s="522">
        <f t="shared" si="37"/>
        <v>0</v>
      </c>
      <c r="Q24" s="44" t="s">
        <v>54</v>
      </c>
      <c r="R24" s="285" t="s">
        <v>109</v>
      </c>
      <c r="S24" s="172">
        <v>0</v>
      </c>
      <c r="T24" s="173">
        <v>0</v>
      </c>
      <c r="U24" s="522">
        <f t="shared" si="38"/>
        <v>0</v>
      </c>
      <c r="V24" s="130"/>
      <c r="W24" s="148">
        <f t="shared" si="39"/>
        <v>27443.165695253952</v>
      </c>
      <c r="X24" s="266">
        <f t="shared" si="40"/>
        <v>0</v>
      </c>
      <c r="Y24" s="266">
        <f t="shared" si="41"/>
        <v>27443.165695253952</v>
      </c>
      <c r="Z24" s="272">
        <f t="shared" si="42"/>
        <v>27443</v>
      </c>
      <c r="AA24" s="130"/>
      <c r="AB24" s="311">
        <f t="shared" si="22"/>
        <v>86.851489082825438</v>
      </c>
      <c r="AC24" s="312">
        <f t="shared" si="23"/>
        <v>0.55672186387278932</v>
      </c>
      <c r="AD24" s="313">
        <f t="shared" si="24"/>
        <v>10074.772733607751</v>
      </c>
      <c r="AE24" s="314">
        <f t="shared" si="25"/>
        <v>6.3055111630350519E-2</v>
      </c>
      <c r="AF24" s="315">
        <f t="shared" si="26"/>
        <v>9963</v>
      </c>
      <c r="AG24" s="266">
        <f t="shared" si="27"/>
        <v>0</v>
      </c>
      <c r="AH24" s="266">
        <f t="shared" si="4"/>
        <v>9963</v>
      </c>
      <c r="AI24" s="272">
        <f t="shared" si="5"/>
        <v>9963</v>
      </c>
      <c r="AJ24" s="60"/>
      <c r="AK24" s="530">
        <f t="shared" si="57"/>
        <v>116</v>
      </c>
      <c r="AL24" s="69">
        <v>116</v>
      </c>
      <c r="AM24" s="69">
        <v>0</v>
      </c>
      <c r="AN24" s="70">
        <v>0</v>
      </c>
      <c r="AO24" s="71">
        <v>17</v>
      </c>
      <c r="AP24" s="72">
        <v>23</v>
      </c>
      <c r="AQ24" s="73">
        <v>76</v>
      </c>
      <c r="AR24" s="60"/>
      <c r="AS24" s="186">
        <v>108</v>
      </c>
      <c r="AT24" s="583">
        <f t="shared" si="28"/>
        <v>116</v>
      </c>
      <c r="AU24" s="182">
        <f t="shared" si="43"/>
        <v>8</v>
      </c>
      <c r="AV24" s="288">
        <f t="shared" si="44"/>
        <v>7.407407407407407E-2</v>
      </c>
      <c r="AW24" s="60"/>
      <c r="AX24" s="186">
        <v>74</v>
      </c>
      <c r="AY24" s="583">
        <f t="shared" si="29"/>
        <v>76</v>
      </c>
      <c r="AZ24" s="182">
        <f t="shared" si="45"/>
        <v>2</v>
      </c>
      <c r="BA24" s="197">
        <f t="shared" si="46"/>
        <v>2.7027027027027029E-2</v>
      </c>
      <c r="BB24" s="224">
        <f t="shared" si="30"/>
        <v>48.356690023356684</v>
      </c>
      <c r="BC24" s="278">
        <f t="shared" si="47"/>
        <v>9.6713380046713375</v>
      </c>
      <c r="BD24" s="60"/>
      <c r="BE24" s="558">
        <f t="shared" si="48"/>
        <v>1</v>
      </c>
      <c r="BF24" s="625">
        <v>0</v>
      </c>
      <c r="BG24" s="649">
        <f t="shared" si="49"/>
        <v>1</v>
      </c>
      <c r="BH24" s="72">
        <v>0</v>
      </c>
      <c r="BI24" s="558">
        <f t="shared" si="31"/>
        <v>3</v>
      </c>
      <c r="BJ24" s="72">
        <v>0</v>
      </c>
      <c r="BK24" s="563">
        <f t="shared" si="32"/>
        <v>3</v>
      </c>
      <c r="BL24" s="594">
        <v>0</v>
      </c>
      <c r="BM24" s="200">
        <f t="shared" si="50"/>
        <v>1</v>
      </c>
      <c r="BN24" s="224">
        <f t="shared" si="33"/>
        <v>100</v>
      </c>
      <c r="BO24" s="278">
        <f t="shared" si="51"/>
        <v>45</v>
      </c>
      <c r="BP24" s="60"/>
      <c r="BQ24" s="646">
        <v>1</v>
      </c>
      <c r="BR24" s="548">
        <f t="shared" si="34"/>
        <v>3</v>
      </c>
      <c r="BS24" s="115">
        <v>3</v>
      </c>
      <c r="BT24" s="109">
        <v>0</v>
      </c>
      <c r="BU24" s="109">
        <v>0</v>
      </c>
      <c r="BV24" s="73">
        <v>0</v>
      </c>
      <c r="BW24" s="60"/>
      <c r="BX24" s="298">
        <v>8</v>
      </c>
      <c r="BY24" s="299">
        <v>4.625</v>
      </c>
      <c r="BZ24" s="216">
        <f t="shared" si="35"/>
        <v>98.092967818831937</v>
      </c>
      <c r="CA24" s="278">
        <f t="shared" si="52"/>
        <v>19.618593563766389</v>
      </c>
      <c r="CB24" s="60"/>
      <c r="CC24" s="186">
        <v>2</v>
      </c>
      <c r="CD24" s="102">
        <v>1108</v>
      </c>
      <c r="CE24" s="553">
        <f t="shared" si="19"/>
        <v>74</v>
      </c>
      <c r="CF24" s="206">
        <f t="shared" si="53"/>
        <v>0.14972972972972973</v>
      </c>
      <c r="CG24" s="216">
        <f t="shared" si="36"/>
        <v>83.743716762584683</v>
      </c>
      <c r="CH24" s="278">
        <f t="shared" si="54"/>
        <v>12.561557514387703</v>
      </c>
    </row>
    <row r="25" spans="2:87" s="3" customFormat="1" ht="15" x14ac:dyDescent="0.25">
      <c r="B25" s="211" t="s">
        <v>63</v>
      </c>
      <c r="C25" s="229" t="s">
        <v>88</v>
      </c>
      <c r="D25" s="664">
        <f t="shared" si="55"/>
        <v>17824</v>
      </c>
      <c r="E25" s="665">
        <f t="shared" si="56"/>
        <v>5114</v>
      </c>
      <c r="F25" s="679">
        <v>3302</v>
      </c>
      <c r="G25" s="690">
        <f t="shared" si="20"/>
        <v>1812</v>
      </c>
      <c r="H25" s="255">
        <f t="shared" si="21"/>
        <v>22938</v>
      </c>
      <c r="I25" s="130"/>
      <c r="J25" s="44">
        <v>42758</v>
      </c>
      <c r="K25" s="49">
        <v>24477</v>
      </c>
      <c r="L25" s="46">
        <v>42775</v>
      </c>
      <c r="M25" s="46">
        <v>42831</v>
      </c>
      <c r="N25" s="67">
        <v>0</v>
      </c>
      <c r="O25" s="68">
        <v>0</v>
      </c>
      <c r="P25" s="522">
        <f t="shared" si="37"/>
        <v>0</v>
      </c>
      <c r="Q25" s="44" t="s">
        <v>54</v>
      </c>
      <c r="R25" s="171" t="s">
        <v>109</v>
      </c>
      <c r="S25" s="136">
        <v>0</v>
      </c>
      <c r="T25" s="68">
        <v>0</v>
      </c>
      <c r="U25" s="524">
        <f t="shared" si="38"/>
        <v>0</v>
      </c>
      <c r="V25" s="130"/>
      <c r="W25" s="148">
        <f t="shared" si="39"/>
        <v>17823.911740216485</v>
      </c>
      <c r="X25" s="266">
        <f t="shared" si="40"/>
        <v>0</v>
      </c>
      <c r="Y25" s="266">
        <f t="shared" si="41"/>
        <v>17823.911740216485</v>
      </c>
      <c r="Z25" s="272">
        <f t="shared" si="42"/>
        <v>17824</v>
      </c>
      <c r="AA25" s="130"/>
      <c r="AB25" s="311">
        <f t="shared" si="22"/>
        <v>68.953673218791891</v>
      </c>
      <c r="AC25" s="312">
        <f t="shared" si="23"/>
        <v>0.23592228328597975</v>
      </c>
      <c r="AD25" s="313">
        <f t="shared" si="24"/>
        <v>5171.5254914093921</v>
      </c>
      <c r="AE25" s="314">
        <f t="shared" si="25"/>
        <v>3.2367094105481636E-2</v>
      </c>
      <c r="AF25" s="315">
        <f t="shared" si="26"/>
        <v>5114</v>
      </c>
      <c r="AG25" s="266">
        <f t="shared" si="27"/>
        <v>0</v>
      </c>
      <c r="AH25" s="266">
        <f t="shared" si="4"/>
        <v>5114</v>
      </c>
      <c r="AI25" s="272">
        <f t="shared" si="5"/>
        <v>5114</v>
      </c>
      <c r="AJ25" s="60"/>
      <c r="AK25" s="530">
        <f t="shared" si="57"/>
        <v>75</v>
      </c>
      <c r="AL25" s="69">
        <v>75</v>
      </c>
      <c r="AM25" s="69">
        <v>0</v>
      </c>
      <c r="AN25" s="70">
        <v>0</v>
      </c>
      <c r="AO25" s="71">
        <v>13</v>
      </c>
      <c r="AP25" s="72">
        <v>10</v>
      </c>
      <c r="AQ25" s="73">
        <v>52</v>
      </c>
      <c r="AR25" s="60"/>
      <c r="AS25" s="186">
        <v>82</v>
      </c>
      <c r="AT25" s="583">
        <f t="shared" si="28"/>
        <v>75</v>
      </c>
      <c r="AU25" s="182">
        <f t="shared" si="43"/>
        <v>-7</v>
      </c>
      <c r="AV25" s="288">
        <f t="shared" si="44"/>
        <v>-8.5365853658536592E-2</v>
      </c>
      <c r="AW25" s="60"/>
      <c r="AX25" s="186">
        <v>57</v>
      </c>
      <c r="AY25" s="583">
        <f t="shared" si="29"/>
        <v>52</v>
      </c>
      <c r="AZ25" s="182">
        <f t="shared" si="45"/>
        <v>-5</v>
      </c>
      <c r="BA25" s="197">
        <f t="shared" si="46"/>
        <v>-8.771929824561403E-2</v>
      </c>
      <c r="BB25" s="224">
        <f t="shared" si="30"/>
        <v>25.850119124972927</v>
      </c>
      <c r="BC25" s="278">
        <f t="shared" si="47"/>
        <v>5.170023824994586</v>
      </c>
      <c r="BD25" s="60"/>
      <c r="BE25" s="558">
        <f t="shared" si="48"/>
        <v>1</v>
      </c>
      <c r="BF25" s="625">
        <v>0</v>
      </c>
      <c r="BG25" s="649">
        <f t="shared" si="49"/>
        <v>1</v>
      </c>
      <c r="BH25" s="72">
        <v>0</v>
      </c>
      <c r="BI25" s="558">
        <f t="shared" si="31"/>
        <v>4</v>
      </c>
      <c r="BJ25" s="72">
        <v>0</v>
      </c>
      <c r="BK25" s="563">
        <f t="shared" si="32"/>
        <v>2</v>
      </c>
      <c r="BL25" s="594">
        <v>1</v>
      </c>
      <c r="BM25" s="200">
        <f t="shared" si="50"/>
        <v>0.88888888888888884</v>
      </c>
      <c r="BN25" s="224">
        <f t="shared" si="33"/>
        <v>83.333333333333329</v>
      </c>
      <c r="BO25" s="278">
        <f t="shared" si="51"/>
        <v>37.5</v>
      </c>
      <c r="BP25" s="60"/>
      <c r="BQ25" s="646">
        <v>1</v>
      </c>
      <c r="BR25" s="548">
        <f t="shared" si="34"/>
        <v>4</v>
      </c>
      <c r="BS25" s="115">
        <v>3</v>
      </c>
      <c r="BT25" s="109">
        <v>1</v>
      </c>
      <c r="BU25" s="109">
        <v>0</v>
      </c>
      <c r="BV25" s="73">
        <v>0</v>
      </c>
      <c r="BW25" s="60"/>
      <c r="BX25" s="298">
        <v>14</v>
      </c>
      <c r="BY25" s="299">
        <v>4.1429999999999998</v>
      </c>
      <c r="BZ25" s="216">
        <f t="shared" si="35"/>
        <v>83.730631704410001</v>
      </c>
      <c r="CA25" s="278">
        <f t="shared" si="52"/>
        <v>16.746126340882</v>
      </c>
      <c r="CB25" s="60"/>
      <c r="CC25" s="186">
        <v>2</v>
      </c>
      <c r="CD25" s="102">
        <v>648</v>
      </c>
      <c r="CE25" s="553">
        <f t="shared" si="19"/>
        <v>57</v>
      </c>
      <c r="CF25" s="206">
        <f t="shared" si="53"/>
        <v>0.11368421052631579</v>
      </c>
      <c r="CG25" s="216">
        <f t="shared" si="36"/>
        <v>63.583487019435388</v>
      </c>
      <c r="CH25" s="278">
        <f t="shared" si="54"/>
        <v>9.5375230529153079</v>
      </c>
    </row>
    <row r="26" spans="2:87" s="3" customFormat="1" ht="15" x14ac:dyDescent="0.25">
      <c r="B26" s="211" t="s">
        <v>64</v>
      </c>
      <c r="C26" s="229" t="s">
        <v>89</v>
      </c>
      <c r="D26" s="664">
        <f t="shared" si="55"/>
        <v>9902</v>
      </c>
      <c r="E26" s="665">
        <f t="shared" si="56"/>
        <v>1108</v>
      </c>
      <c r="F26" s="679">
        <v>715</v>
      </c>
      <c r="G26" s="690">
        <f t="shared" si="20"/>
        <v>393</v>
      </c>
      <c r="H26" s="255">
        <f t="shared" si="21"/>
        <v>11010</v>
      </c>
      <c r="I26" s="536"/>
      <c r="J26" s="170">
        <v>42765</v>
      </c>
      <c r="K26" s="49">
        <v>13160</v>
      </c>
      <c r="L26" s="46">
        <v>42779</v>
      </c>
      <c r="M26" s="46">
        <v>42839</v>
      </c>
      <c r="N26" s="283">
        <v>0</v>
      </c>
      <c r="O26" s="173">
        <v>0</v>
      </c>
      <c r="P26" s="522">
        <f t="shared" si="37"/>
        <v>0</v>
      </c>
      <c r="Q26" s="170" t="s">
        <v>54</v>
      </c>
      <c r="R26" s="171" t="s">
        <v>109</v>
      </c>
      <c r="S26" s="172">
        <v>0</v>
      </c>
      <c r="T26" s="173">
        <v>0</v>
      </c>
      <c r="U26" s="522">
        <f t="shared" si="38"/>
        <v>0</v>
      </c>
      <c r="V26" s="536"/>
      <c r="W26" s="148">
        <f t="shared" si="39"/>
        <v>9902.1731890091578</v>
      </c>
      <c r="X26" s="266">
        <f t="shared" si="40"/>
        <v>0</v>
      </c>
      <c r="Y26" s="266">
        <f t="shared" si="41"/>
        <v>9902.1731890091578</v>
      </c>
      <c r="Z26" s="272">
        <f t="shared" si="42"/>
        <v>9902</v>
      </c>
      <c r="AA26" s="536"/>
      <c r="AB26" s="311">
        <f t="shared" si="22"/>
        <v>28.003752899825109</v>
      </c>
      <c r="AC26" s="312">
        <f t="shared" si="23"/>
        <v>-0.4980620957681503</v>
      </c>
      <c r="AD26" s="313">
        <f t="shared" si="24"/>
        <v>1120.1501159930044</v>
      </c>
      <c r="AE26" s="314">
        <f t="shared" si="25"/>
        <v>7.0106981541206556E-3</v>
      </c>
      <c r="AF26" s="315">
        <f t="shared" si="26"/>
        <v>1108</v>
      </c>
      <c r="AG26" s="266">
        <f t="shared" si="27"/>
        <v>0</v>
      </c>
      <c r="AH26" s="266">
        <f t="shared" si="4"/>
        <v>1108</v>
      </c>
      <c r="AI26" s="272">
        <f t="shared" si="5"/>
        <v>1108</v>
      </c>
      <c r="AJ26" s="60"/>
      <c r="AK26" s="530">
        <f t="shared" si="57"/>
        <v>40</v>
      </c>
      <c r="AL26" s="69">
        <v>40</v>
      </c>
      <c r="AM26" s="69">
        <v>0</v>
      </c>
      <c r="AN26" s="70">
        <v>0</v>
      </c>
      <c r="AO26" s="71">
        <v>7</v>
      </c>
      <c r="AP26" s="72">
        <v>1</v>
      </c>
      <c r="AQ26" s="73">
        <v>32</v>
      </c>
      <c r="AR26" s="60"/>
      <c r="AS26" s="186">
        <v>45</v>
      </c>
      <c r="AT26" s="583">
        <f t="shared" si="28"/>
        <v>40</v>
      </c>
      <c r="AU26" s="182">
        <f t="shared" si="43"/>
        <v>-5</v>
      </c>
      <c r="AV26" s="288">
        <f t="shared" si="44"/>
        <v>-0.1111111111111111</v>
      </c>
      <c r="AW26" s="60"/>
      <c r="AX26" s="186">
        <v>35</v>
      </c>
      <c r="AY26" s="583">
        <f t="shared" si="29"/>
        <v>32</v>
      </c>
      <c r="AZ26" s="182">
        <f t="shared" si="45"/>
        <v>-3</v>
      </c>
      <c r="BA26" s="197">
        <f t="shared" si="46"/>
        <v>-8.5714285714285715E-2</v>
      </c>
      <c r="BB26" s="224">
        <f t="shared" si="30"/>
        <v>26.24338624338624</v>
      </c>
      <c r="BC26" s="278">
        <f t="shared" si="47"/>
        <v>5.2486772486772484</v>
      </c>
      <c r="BD26" s="60"/>
      <c r="BE26" s="558">
        <f t="shared" si="48"/>
        <v>1</v>
      </c>
      <c r="BF26" s="625">
        <v>0</v>
      </c>
      <c r="BG26" s="649">
        <f t="shared" si="49"/>
        <v>0</v>
      </c>
      <c r="BH26" s="597">
        <v>1</v>
      </c>
      <c r="BI26" s="558">
        <f t="shared" si="31"/>
        <v>1</v>
      </c>
      <c r="BJ26" s="597">
        <v>1</v>
      </c>
      <c r="BK26" s="563">
        <f t="shared" si="32"/>
        <v>0</v>
      </c>
      <c r="BL26" s="594">
        <v>2</v>
      </c>
      <c r="BM26" s="200">
        <f t="shared" si="50"/>
        <v>0.33333333333333331</v>
      </c>
      <c r="BN26" s="224">
        <f t="shared" si="33"/>
        <v>0</v>
      </c>
      <c r="BO26" s="278">
        <f t="shared" si="51"/>
        <v>0</v>
      </c>
      <c r="BP26" s="60"/>
      <c r="BQ26" s="646">
        <v>1</v>
      </c>
      <c r="BR26" s="548">
        <f t="shared" si="34"/>
        <v>2</v>
      </c>
      <c r="BS26" s="115">
        <v>2</v>
      </c>
      <c r="BT26" s="109">
        <v>0</v>
      </c>
      <c r="BU26" s="109">
        <v>0</v>
      </c>
      <c r="BV26" s="73">
        <v>0</v>
      </c>
      <c r="BW26" s="60"/>
      <c r="BX26" s="298">
        <v>10</v>
      </c>
      <c r="BY26" s="299">
        <v>3.1</v>
      </c>
      <c r="BZ26" s="216">
        <f t="shared" si="35"/>
        <v>52.65196662693684</v>
      </c>
      <c r="CA26" s="278">
        <f t="shared" si="52"/>
        <v>10.530393325387369</v>
      </c>
      <c r="CB26" s="60"/>
      <c r="CC26" s="186">
        <v>1</v>
      </c>
      <c r="CD26" s="102">
        <v>510</v>
      </c>
      <c r="CE26" s="553">
        <f t="shared" si="19"/>
        <v>35</v>
      </c>
      <c r="CF26" s="206">
        <f t="shared" si="53"/>
        <v>0.14571428571428571</v>
      </c>
      <c r="CG26" s="216">
        <f t="shared" si="36"/>
        <v>81.49788217173662</v>
      </c>
      <c r="CH26" s="278">
        <f t="shared" si="54"/>
        <v>12.224682325760492</v>
      </c>
    </row>
    <row r="27" spans="2:87" s="3" customFormat="1" ht="15.75" thickBot="1" x14ac:dyDescent="0.3">
      <c r="B27" s="212" t="s">
        <v>65</v>
      </c>
      <c r="C27" s="230" t="s">
        <v>90</v>
      </c>
      <c r="D27" s="666">
        <f t="shared" si="55"/>
        <v>14806</v>
      </c>
      <c r="E27" s="663">
        <f t="shared" si="56"/>
        <v>5474</v>
      </c>
      <c r="F27" s="680">
        <v>3534</v>
      </c>
      <c r="G27" s="691">
        <f t="shared" si="20"/>
        <v>1940</v>
      </c>
      <c r="H27" s="256">
        <f t="shared" si="21"/>
        <v>20280</v>
      </c>
      <c r="I27" s="130"/>
      <c r="J27" s="98">
        <v>42765</v>
      </c>
      <c r="K27" s="50">
        <v>21006</v>
      </c>
      <c r="L27" s="334">
        <v>42788</v>
      </c>
      <c r="M27" s="334">
        <v>42838</v>
      </c>
      <c r="N27" s="74">
        <v>0</v>
      </c>
      <c r="O27" s="75">
        <v>0</v>
      </c>
      <c r="P27" s="523">
        <f t="shared" si="37"/>
        <v>0</v>
      </c>
      <c r="Q27" s="98" t="s">
        <v>54</v>
      </c>
      <c r="R27" s="570" t="s">
        <v>109</v>
      </c>
      <c r="S27" s="176">
        <v>0</v>
      </c>
      <c r="T27" s="177">
        <v>0</v>
      </c>
      <c r="U27" s="523">
        <f t="shared" si="38"/>
        <v>0</v>
      </c>
      <c r="V27" s="130"/>
      <c r="W27" s="571">
        <f t="shared" si="39"/>
        <v>14806.106577851788</v>
      </c>
      <c r="X27" s="342">
        <f t="shared" si="40"/>
        <v>0</v>
      </c>
      <c r="Y27" s="342">
        <f t="shared" si="41"/>
        <v>14806.106577851788</v>
      </c>
      <c r="Z27" s="572">
        <f t="shared" si="42"/>
        <v>14806</v>
      </c>
      <c r="AA27" s="130"/>
      <c r="AB27" s="573">
        <f t="shared" si="22"/>
        <v>83.865181594304019</v>
      </c>
      <c r="AC27" s="574">
        <f t="shared" si="23"/>
        <v>0.50319543377099807</v>
      </c>
      <c r="AD27" s="575">
        <f t="shared" si="24"/>
        <v>5535.1019852240652</v>
      </c>
      <c r="AE27" s="576">
        <f t="shared" si="25"/>
        <v>3.4642615053679354E-2</v>
      </c>
      <c r="AF27" s="577">
        <f t="shared" si="26"/>
        <v>5474</v>
      </c>
      <c r="AG27" s="342">
        <f t="shared" si="27"/>
        <v>0</v>
      </c>
      <c r="AH27" s="342">
        <f t="shared" si="4"/>
        <v>5474</v>
      </c>
      <c r="AI27" s="572">
        <f t="shared" si="5"/>
        <v>5474</v>
      </c>
      <c r="AJ27" s="60"/>
      <c r="AK27" s="531">
        <f t="shared" si="57"/>
        <v>66</v>
      </c>
      <c r="AL27" s="76">
        <v>66</v>
      </c>
      <c r="AM27" s="76">
        <v>0</v>
      </c>
      <c r="AN27" s="77">
        <v>0</v>
      </c>
      <c r="AO27" s="78">
        <v>15</v>
      </c>
      <c r="AP27" s="79">
        <v>11</v>
      </c>
      <c r="AQ27" s="80">
        <v>40</v>
      </c>
      <c r="AR27" s="60"/>
      <c r="AS27" s="187">
        <v>56</v>
      </c>
      <c r="AT27" s="584">
        <f t="shared" si="28"/>
        <v>66</v>
      </c>
      <c r="AU27" s="183">
        <f t="shared" si="43"/>
        <v>10</v>
      </c>
      <c r="AV27" s="289">
        <f t="shared" si="44"/>
        <v>0.17857142857142858</v>
      </c>
      <c r="AW27" s="60"/>
      <c r="AX27" s="187">
        <v>31</v>
      </c>
      <c r="AY27" s="584">
        <f t="shared" si="29"/>
        <v>40</v>
      </c>
      <c r="AZ27" s="183">
        <f t="shared" si="45"/>
        <v>9</v>
      </c>
      <c r="BA27" s="198">
        <f t="shared" si="46"/>
        <v>0.29032258064516131</v>
      </c>
      <c r="BB27" s="225">
        <f t="shared" si="30"/>
        <v>100</v>
      </c>
      <c r="BC27" s="279">
        <f t="shared" si="47"/>
        <v>20</v>
      </c>
      <c r="BD27" s="60"/>
      <c r="BE27" s="559">
        <f t="shared" si="48"/>
        <v>1</v>
      </c>
      <c r="BF27" s="626">
        <v>0</v>
      </c>
      <c r="BG27" s="650">
        <f t="shared" si="49"/>
        <v>1</v>
      </c>
      <c r="BH27" s="79">
        <v>0</v>
      </c>
      <c r="BI27" s="559">
        <f t="shared" si="31"/>
        <v>3</v>
      </c>
      <c r="BJ27" s="79">
        <v>0</v>
      </c>
      <c r="BK27" s="564">
        <f t="shared" si="32"/>
        <v>1</v>
      </c>
      <c r="BL27" s="595">
        <v>1</v>
      </c>
      <c r="BM27" s="201">
        <f t="shared" si="50"/>
        <v>0.8571428571428571</v>
      </c>
      <c r="BN27" s="225">
        <f t="shared" si="33"/>
        <v>78.571428571428555</v>
      </c>
      <c r="BO27" s="279">
        <f t="shared" si="51"/>
        <v>35.357142857142854</v>
      </c>
      <c r="BP27" s="60"/>
      <c r="BQ27" s="647">
        <v>1</v>
      </c>
      <c r="BR27" s="549">
        <f t="shared" si="34"/>
        <v>3</v>
      </c>
      <c r="BS27" s="116">
        <v>2</v>
      </c>
      <c r="BT27" s="110">
        <v>0</v>
      </c>
      <c r="BU27" s="110">
        <v>1</v>
      </c>
      <c r="BV27" s="80">
        <v>0</v>
      </c>
      <c r="BW27" s="60"/>
      <c r="BX27" s="300">
        <v>2</v>
      </c>
      <c r="BY27" s="301">
        <v>4.5</v>
      </c>
      <c r="BZ27" s="217">
        <f t="shared" si="35"/>
        <v>94.36829558998808</v>
      </c>
      <c r="CA27" s="279">
        <f t="shared" si="52"/>
        <v>18.873659117997615</v>
      </c>
      <c r="CB27" s="60"/>
      <c r="CC27" s="187">
        <v>1</v>
      </c>
      <c r="CD27" s="103">
        <v>356</v>
      </c>
      <c r="CE27" s="554">
        <f t="shared" si="19"/>
        <v>31</v>
      </c>
      <c r="CF27" s="207">
        <f t="shared" si="53"/>
        <v>0.11483870967741935</v>
      </c>
      <c r="CG27" s="217">
        <f t="shared" si="36"/>
        <v>64.229197461090351</v>
      </c>
      <c r="CH27" s="279">
        <f t="shared" si="54"/>
        <v>9.6343796191635516</v>
      </c>
      <c r="CI27" s="578"/>
    </row>
    <row r="28" spans="2:87" s="3" customFormat="1" ht="7.5" customHeight="1" thickBot="1" x14ac:dyDescent="0.3">
      <c r="B28" s="213"/>
      <c r="C28" s="7"/>
      <c r="D28" s="34"/>
      <c r="E28" s="34"/>
      <c r="F28" s="669"/>
      <c r="G28" s="669"/>
      <c r="H28" s="34"/>
      <c r="I28" s="60"/>
      <c r="J28" s="34"/>
      <c r="K28" s="34"/>
      <c r="L28" s="34"/>
      <c r="M28" s="34"/>
      <c r="N28" s="60"/>
      <c r="O28" s="60"/>
      <c r="P28" s="60"/>
      <c r="Q28" s="34"/>
      <c r="R28" s="34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81"/>
      <c r="AO28" s="82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82"/>
      <c r="BF28" s="82"/>
      <c r="BG28" s="82"/>
      <c r="BH28" s="60"/>
      <c r="BI28" s="82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293"/>
      <c r="BY28" s="291"/>
      <c r="BZ28" s="60"/>
      <c r="CA28" s="60"/>
      <c r="CB28" s="60"/>
      <c r="CC28" s="60"/>
      <c r="CD28" s="60"/>
      <c r="CE28" s="60"/>
      <c r="CF28" s="60"/>
      <c r="CG28" s="60"/>
      <c r="CH28" s="60"/>
    </row>
    <row r="29" spans="2:87" s="446" customFormat="1" ht="15" x14ac:dyDescent="0.25">
      <c r="B29" s="382" t="s">
        <v>52</v>
      </c>
      <c r="C29" s="383" t="s">
        <v>99</v>
      </c>
      <c r="D29" s="387" t="s">
        <v>52</v>
      </c>
      <c r="E29" s="388" t="s">
        <v>52</v>
      </c>
      <c r="F29" s="681" t="s">
        <v>52</v>
      </c>
      <c r="G29" s="692" t="s">
        <v>52</v>
      </c>
      <c r="H29" s="389" t="s">
        <v>52</v>
      </c>
      <c r="I29" s="447"/>
      <c r="J29" s="479" t="s">
        <v>52</v>
      </c>
      <c r="K29" s="480" t="s">
        <v>52</v>
      </c>
      <c r="L29" s="481" t="s">
        <v>52</v>
      </c>
      <c r="M29" s="481" t="s">
        <v>52</v>
      </c>
      <c r="N29" s="482" t="s">
        <v>52</v>
      </c>
      <c r="O29" s="483" t="s">
        <v>52</v>
      </c>
      <c r="P29" s="484" t="s">
        <v>52</v>
      </c>
      <c r="Q29" s="485" t="s">
        <v>52</v>
      </c>
      <c r="R29" s="485" t="s">
        <v>52</v>
      </c>
      <c r="S29" s="486" t="s">
        <v>52</v>
      </c>
      <c r="T29" s="483" t="s">
        <v>52</v>
      </c>
      <c r="U29" s="484" t="s">
        <v>52</v>
      </c>
      <c r="V29" s="447"/>
      <c r="W29" s="487" t="s">
        <v>52</v>
      </c>
      <c r="X29" s="488" t="s">
        <v>52</v>
      </c>
      <c r="Y29" s="489" t="s">
        <v>52</v>
      </c>
      <c r="Z29" s="490" t="s">
        <v>52</v>
      </c>
      <c r="AA29" s="447"/>
      <c r="AB29" s="487" t="s">
        <v>52</v>
      </c>
      <c r="AC29" s="491" t="s">
        <v>52</v>
      </c>
      <c r="AD29" s="489" t="s">
        <v>52</v>
      </c>
      <c r="AE29" s="492" t="s">
        <v>52</v>
      </c>
      <c r="AF29" s="493" t="s">
        <v>52</v>
      </c>
      <c r="AG29" s="488" t="s">
        <v>52</v>
      </c>
      <c r="AH29" s="489" t="s">
        <v>52</v>
      </c>
      <c r="AI29" s="490" t="s">
        <v>52</v>
      </c>
      <c r="AJ29" s="463"/>
      <c r="AK29" s="544" t="s">
        <v>52</v>
      </c>
      <c r="AL29" s="545" t="s">
        <v>52</v>
      </c>
      <c r="AM29" s="545" t="s">
        <v>52</v>
      </c>
      <c r="AN29" s="546" t="s">
        <v>52</v>
      </c>
      <c r="AO29" s="494" t="s">
        <v>52</v>
      </c>
      <c r="AP29" s="543" t="s">
        <v>52</v>
      </c>
      <c r="AQ29" s="506" t="s">
        <v>52</v>
      </c>
      <c r="AR29" s="463"/>
      <c r="AS29" s="495" t="s">
        <v>52</v>
      </c>
      <c r="AT29" s="586" t="s">
        <v>52</v>
      </c>
      <c r="AU29" s="496" t="s">
        <v>52</v>
      </c>
      <c r="AV29" s="497" t="s">
        <v>52</v>
      </c>
      <c r="AW29" s="463"/>
      <c r="AX29" s="495" t="s">
        <v>52</v>
      </c>
      <c r="AY29" s="586" t="s">
        <v>52</v>
      </c>
      <c r="AZ29" s="496" t="s">
        <v>52</v>
      </c>
      <c r="BA29" s="498" t="s">
        <v>52</v>
      </c>
      <c r="BB29" s="499" t="s">
        <v>52</v>
      </c>
      <c r="BC29" s="500" t="s">
        <v>52</v>
      </c>
      <c r="BD29" s="463"/>
      <c r="BE29" s="501" t="s">
        <v>52</v>
      </c>
      <c r="BF29" s="630" t="s">
        <v>52</v>
      </c>
      <c r="BG29" s="639" t="s">
        <v>52</v>
      </c>
      <c r="BH29" s="543" t="s">
        <v>52</v>
      </c>
      <c r="BI29" s="501" t="s">
        <v>52</v>
      </c>
      <c r="BJ29" s="543" t="s">
        <v>52</v>
      </c>
      <c r="BK29" s="509" t="s">
        <v>52</v>
      </c>
      <c r="BL29" s="506" t="s">
        <v>52</v>
      </c>
      <c r="BM29" s="502" t="s">
        <v>52</v>
      </c>
      <c r="BN29" s="499" t="s">
        <v>52</v>
      </c>
      <c r="BO29" s="500" t="s">
        <v>52</v>
      </c>
      <c r="BP29" s="463"/>
      <c r="BQ29" s="644" t="s">
        <v>52</v>
      </c>
      <c r="BR29" s="499" t="s">
        <v>52</v>
      </c>
      <c r="BS29" s="503" t="s">
        <v>52</v>
      </c>
      <c r="BT29" s="504" t="s">
        <v>52</v>
      </c>
      <c r="BU29" s="505" t="s">
        <v>52</v>
      </c>
      <c r="BV29" s="506" t="s">
        <v>52</v>
      </c>
      <c r="BW29" s="463"/>
      <c r="BX29" s="507" t="s">
        <v>52</v>
      </c>
      <c r="BY29" s="508" t="s">
        <v>52</v>
      </c>
      <c r="BZ29" s="499" t="s">
        <v>52</v>
      </c>
      <c r="CA29" s="500" t="s">
        <v>52</v>
      </c>
      <c r="CB29" s="463"/>
      <c r="CC29" s="495" t="s">
        <v>52</v>
      </c>
      <c r="CD29" s="509" t="s">
        <v>52</v>
      </c>
      <c r="CE29" s="504" t="s">
        <v>52</v>
      </c>
      <c r="CF29" s="510" t="s">
        <v>52</v>
      </c>
      <c r="CG29" s="499" t="s">
        <v>52</v>
      </c>
      <c r="CH29" s="500" t="s">
        <v>52</v>
      </c>
    </row>
    <row r="30" spans="2:87" s="3" customFormat="1" ht="15" x14ac:dyDescent="0.25">
      <c r="B30" s="360" t="s">
        <v>66</v>
      </c>
      <c r="C30" s="361" t="s">
        <v>91</v>
      </c>
      <c r="D30" s="664">
        <f t="shared" ref="D30:D35" si="58">Z30</f>
        <v>45927</v>
      </c>
      <c r="E30" s="665">
        <f t="shared" ref="E30:E35" si="59">AI30</f>
        <v>9613</v>
      </c>
      <c r="F30" s="679">
        <v>6207</v>
      </c>
      <c r="G30" s="690">
        <f t="shared" ref="G30:G35" si="60">E30-F30</f>
        <v>3406</v>
      </c>
      <c r="H30" s="344">
        <f t="shared" ref="H30:H35" si="61">D30+E30</f>
        <v>55540</v>
      </c>
      <c r="I30" s="362"/>
      <c r="J30" s="350">
        <v>42766</v>
      </c>
      <c r="K30" s="351">
        <v>63955</v>
      </c>
      <c r="L30" s="352">
        <v>42788</v>
      </c>
      <c r="M30" s="352">
        <v>42853</v>
      </c>
      <c r="N30" s="283">
        <v>0</v>
      </c>
      <c r="O30" s="173">
        <v>0</v>
      </c>
      <c r="P30" s="521">
        <f>IF(O30="","",O30*5/100)</f>
        <v>0</v>
      </c>
      <c r="Q30" s="44" t="s">
        <v>54</v>
      </c>
      <c r="R30" s="363" t="s">
        <v>109</v>
      </c>
      <c r="S30" s="347">
        <v>0</v>
      </c>
      <c r="T30" s="348">
        <v>0</v>
      </c>
      <c r="U30" s="521">
        <f>IF(T30="","",T30*5/100)</f>
        <v>0</v>
      </c>
      <c r="V30" s="362"/>
      <c r="W30" s="148">
        <f>$W$5*AO30+$W$5*2*AP30+$W$5*3*AQ30</f>
        <v>45927.222314737715</v>
      </c>
      <c r="X30" s="265">
        <f>-W30*P30</f>
        <v>0</v>
      </c>
      <c r="Y30" s="266">
        <f t="shared" ref="Y30" si="62">W30+X30</f>
        <v>45927.222314737715</v>
      </c>
      <c r="Z30" s="341">
        <f t="shared" ref="Z30" si="63">ROUND(Y30,0)</f>
        <v>45927</v>
      </c>
      <c r="AA30" s="362"/>
      <c r="AB30" s="599">
        <f t="shared" ref="AB30:AB35" si="64">SUM(BC30,BO30,CA30,CH30)</f>
        <v>51.43276037580511</v>
      </c>
      <c r="AC30" s="600">
        <f t="shared" ref="AC30:AC35" si="65">(AB30/($AB$37/21))-1</f>
        <v>-7.8121705892792437E-2</v>
      </c>
      <c r="AD30" s="601">
        <f t="shared" ref="AD30:AD35" si="66">AB30*AK30</f>
        <v>9720.7917110271665</v>
      </c>
      <c r="AE30" s="602">
        <f t="shared" ref="AE30:AE35" si="67">AD30/$AD$37</f>
        <v>6.0839645983231001E-2</v>
      </c>
      <c r="AF30" s="603">
        <f t="shared" ref="AF30:AF35" si="68">ROUND(AE30*$AF$40,0)</f>
        <v>9613</v>
      </c>
      <c r="AG30" s="604">
        <f t="shared" ref="AG30:AG35" si="69">-AF30*U30</f>
        <v>0</v>
      </c>
      <c r="AH30" s="604">
        <f t="shared" si="4"/>
        <v>9613</v>
      </c>
      <c r="AI30" s="605">
        <f t="shared" si="5"/>
        <v>9613</v>
      </c>
      <c r="AJ30" s="60"/>
      <c r="AK30" s="529">
        <f>AL30+AN30</f>
        <v>189</v>
      </c>
      <c r="AL30" s="286">
        <v>189</v>
      </c>
      <c r="AM30" s="286">
        <v>0</v>
      </c>
      <c r="AN30" s="364">
        <v>0</v>
      </c>
      <c r="AO30" s="365">
        <v>33</v>
      </c>
      <c r="AP30" s="366">
        <v>14</v>
      </c>
      <c r="AQ30" s="66">
        <v>142</v>
      </c>
      <c r="AR30" s="60"/>
      <c r="AS30" s="367">
        <v>166</v>
      </c>
      <c r="AT30" s="590">
        <f t="shared" ref="AT30:AT35" si="70">AK30</f>
        <v>189</v>
      </c>
      <c r="AU30" s="368">
        <f>AT30-AS30</f>
        <v>23</v>
      </c>
      <c r="AV30" s="369">
        <f>AU30/AS30</f>
        <v>0.13855421686746988</v>
      </c>
      <c r="AW30" s="60"/>
      <c r="AX30" s="367">
        <v>117</v>
      </c>
      <c r="AY30" s="590">
        <f t="shared" ref="AY30:AY35" si="71">AQ30</f>
        <v>142</v>
      </c>
      <c r="AZ30" s="368">
        <f>AY30-AX30</f>
        <v>25</v>
      </c>
      <c r="BA30" s="370">
        <f>AZ30/AX30</f>
        <v>0.21367521367521367</v>
      </c>
      <c r="BB30" s="371">
        <f t="shared" ref="BB30:BB35" si="72">100*(BA30-MIN(BA$11:BA$14,BA$17:BA$17,BA$20:BA$27,BA$30:BA$35))/(MAX(BA$11:BA$14,BA$17:BA$17,BA$20:BA$27,BA$30:BA$35)-MIN(BA$11:BA$14,BA$17:BA$17,BA$20:BA$27,BA$30:BA$35))</f>
        <v>84.966234040308095</v>
      </c>
      <c r="BC30" s="372">
        <f>BB30*BC$8</f>
        <v>16.99324680806162</v>
      </c>
      <c r="BD30" s="60"/>
      <c r="BE30" s="561">
        <f>1-BF30</f>
        <v>1</v>
      </c>
      <c r="BF30" s="631">
        <v>0</v>
      </c>
      <c r="BG30" s="652">
        <f>BQ30-BH30</f>
        <v>1</v>
      </c>
      <c r="BH30" s="598">
        <v>0</v>
      </c>
      <c r="BI30" s="561">
        <f t="shared" ref="BI30:BI35" si="73">BR30-BJ30</f>
        <v>4</v>
      </c>
      <c r="BJ30" s="598">
        <v>4</v>
      </c>
      <c r="BK30" s="562">
        <f t="shared" ref="BK30:BK35" si="74">BS30-BL30</f>
        <v>2</v>
      </c>
      <c r="BL30" s="593">
        <v>4</v>
      </c>
      <c r="BM30" s="373">
        <f>(BE30+BG30+BI30+BK30)/SUM(BE30:BL30)</f>
        <v>0.5</v>
      </c>
      <c r="BN30" s="371">
        <f t="shared" ref="BN30:BN35" si="75">100*(BM30-MIN(BM$11:BM$14,BM$17:BM$17,BM$20:BM$27,BM$30:BM$35))/(MAX(BM$11:BM$14,BM$17:BM$17,BM$20:BM$27,BM$30:BM$35)-MIN(BM$11:BM$14,BM$17:BM$17,BM$20:BM$27,BM$30:BM$35))</f>
        <v>25</v>
      </c>
      <c r="BO30" s="372">
        <f>BN30*BO$8</f>
        <v>11.25</v>
      </c>
      <c r="BP30" s="60"/>
      <c r="BQ30" s="645">
        <v>1</v>
      </c>
      <c r="BR30" s="551">
        <f t="shared" ref="BR30:BR35" si="76">SUM(BS30:BV30)</f>
        <v>8</v>
      </c>
      <c r="BS30" s="374">
        <v>6</v>
      </c>
      <c r="BT30" s="375">
        <v>1</v>
      </c>
      <c r="BU30" s="375">
        <v>1</v>
      </c>
      <c r="BV30" s="66">
        <v>0</v>
      </c>
      <c r="BW30" s="60"/>
      <c r="BX30" s="376">
        <v>16</v>
      </c>
      <c r="BY30" s="377">
        <v>3.5</v>
      </c>
      <c r="BZ30" s="378">
        <f t="shared" ref="BZ30:BZ35" si="77">100*(BY30-MIN(BY$11:BY$14,BY$17:BY$17,BY$20:BY$27,BY$30:BY$35))/(MAX(BY$11:BY$14,BY$17:BY$17,BY$20:BY$27,BY$30:BY$35)-MIN(BY$11:BY$14,BY$17:BY$17,BY$20:BY$27,BY$30:BY$35))</f>
        <v>64.57091775923719</v>
      </c>
      <c r="CA30" s="372">
        <f>BZ30*CA$8</f>
        <v>12.914183551847438</v>
      </c>
      <c r="CB30" s="60"/>
      <c r="CC30" s="367">
        <v>1</v>
      </c>
      <c r="CD30" s="101">
        <v>1433</v>
      </c>
      <c r="CE30" s="556">
        <f t="shared" ref="CE30:CE35" si="78">AX30</f>
        <v>117</v>
      </c>
      <c r="CF30" s="379">
        <f t="shared" ref="CF30:CF35" si="79">CD30/CE30/100</f>
        <v>0.12247863247863247</v>
      </c>
      <c r="CG30" s="378">
        <f t="shared" ref="CG30:CG35" si="80">100*(CF30-MIN(CF$11:CF$14,CF$17:CF$17,CF$20:CF$27,CF$30:CF$35))/(MAX(CF$11:CF$14,CF$17:CF$17,CF$20:CF$27,CF$30:CF$35)-MIN(CF$11:CF$14,CF$17:CF$17,CF$20:CF$27,CF$30:CF$35))</f>
        <v>68.502200105973685</v>
      </c>
      <c r="CH30" s="372">
        <f>CG30*CH$8</f>
        <v>10.275330015896053</v>
      </c>
    </row>
    <row r="31" spans="2:87" s="3" customFormat="1" ht="15" x14ac:dyDescent="0.25">
      <c r="B31" s="420" t="s">
        <v>67</v>
      </c>
      <c r="C31" s="421" t="s">
        <v>92</v>
      </c>
      <c r="D31" s="664">
        <f t="shared" si="58"/>
        <v>79029</v>
      </c>
      <c r="E31" s="665">
        <f t="shared" si="59"/>
        <v>18599</v>
      </c>
      <c r="F31" s="679">
        <v>12008</v>
      </c>
      <c r="G31" s="690">
        <f t="shared" si="60"/>
        <v>6591</v>
      </c>
      <c r="H31" s="344">
        <f t="shared" si="61"/>
        <v>97628</v>
      </c>
      <c r="I31" s="362"/>
      <c r="J31" s="353">
        <v>42766</v>
      </c>
      <c r="K31" s="354">
        <v>112936</v>
      </c>
      <c r="L31" s="355">
        <v>42775</v>
      </c>
      <c r="M31" s="355">
        <v>42824</v>
      </c>
      <c r="N31" s="283">
        <v>0</v>
      </c>
      <c r="O31" s="173">
        <v>0</v>
      </c>
      <c r="P31" s="522">
        <f t="shared" ref="P31:P34" si="81">IF(O31="","",O31*5/100)</f>
        <v>0</v>
      </c>
      <c r="Q31" s="170" t="s">
        <v>54</v>
      </c>
      <c r="R31" s="534" t="s">
        <v>109</v>
      </c>
      <c r="S31" s="136">
        <v>0</v>
      </c>
      <c r="T31" s="68">
        <v>0</v>
      </c>
      <c r="U31" s="524">
        <f t="shared" ref="U31:U34" si="82">IF(T31="","",T31*5/100)</f>
        <v>0</v>
      </c>
      <c r="V31" s="362"/>
      <c r="W31" s="148">
        <f t="shared" ref="W31:W35" si="83">$W$5*AO31+$W$5*2*AP31+$W$5*3*AQ31</f>
        <v>79028.772689425474</v>
      </c>
      <c r="X31" s="331">
        <f t="shared" ref="X31:X35" si="84">-W31*P31</f>
        <v>0</v>
      </c>
      <c r="Y31" s="266">
        <f t="shared" ref="Y31:Y35" si="85">W31+X31</f>
        <v>79028.772689425474</v>
      </c>
      <c r="Z31" s="341">
        <f t="shared" ref="Z31:Z33" si="86">ROUND(Y31,0)</f>
        <v>79029</v>
      </c>
      <c r="AA31" s="362"/>
      <c r="AB31" s="606">
        <f t="shared" si="64"/>
        <v>57.163299168610727</v>
      </c>
      <c r="AC31" s="607">
        <f t="shared" si="65"/>
        <v>2.4592192564657944E-2</v>
      </c>
      <c r="AD31" s="608">
        <f t="shared" si="66"/>
        <v>18806.725426472931</v>
      </c>
      <c r="AE31" s="609">
        <f t="shared" si="67"/>
        <v>0.11770589794167481</v>
      </c>
      <c r="AF31" s="610">
        <f t="shared" si="68"/>
        <v>18599</v>
      </c>
      <c r="AG31" s="331">
        <f t="shared" si="69"/>
        <v>0</v>
      </c>
      <c r="AH31" s="331">
        <f t="shared" si="4"/>
        <v>18599</v>
      </c>
      <c r="AI31" s="611">
        <f t="shared" si="5"/>
        <v>18599</v>
      </c>
      <c r="AJ31" s="60"/>
      <c r="AK31" s="530">
        <f>AL31+AN31</f>
        <v>329</v>
      </c>
      <c r="AL31" s="69">
        <v>328</v>
      </c>
      <c r="AM31" s="69">
        <v>0</v>
      </c>
      <c r="AN31" s="70">
        <v>1</v>
      </c>
      <c r="AO31" s="71">
        <v>49</v>
      </c>
      <c r="AP31" s="72">
        <v>51</v>
      </c>
      <c r="AQ31" s="73">
        <v>229</v>
      </c>
      <c r="AR31" s="60"/>
      <c r="AS31" s="186">
        <v>340</v>
      </c>
      <c r="AT31" s="583">
        <f t="shared" si="70"/>
        <v>329</v>
      </c>
      <c r="AU31" s="182">
        <f>AT31-AS31</f>
        <v>-11</v>
      </c>
      <c r="AV31" s="288">
        <f t="shared" ref="AV31:AV35" si="87">AU31/AS31</f>
        <v>-3.2352941176470591E-2</v>
      </c>
      <c r="AW31" s="60"/>
      <c r="AX31" s="186">
        <v>259</v>
      </c>
      <c r="AY31" s="583">
        <f t="shared" si="71"/>
        <v>229</v>
      </c>
      <c r="AZ31" s="182">
        <f>AY31-AX31</f>
        <v>-30</v>
      </c>
      <c r="BA31" s="197">
        <f t="shared" ref="BA31:BA35" si="88">AZ31/AX31</f>
        <v>-0.11583011583011583</v>
      </c>
      <c r="BB31" s="224">
        <f t="shared" si="72"/>
        <v>20.336407836407833</v>
      </c>
      <c r="BC31" s="278">
        <f t="shared" ref="BC31:BC35" si="89">BB31*BC$8</f>
        <v>4.067281567281567</v>
      </c>
      <c r="BD31" s="60"/>
      <c r="BE31" s="558">
        <f t="shared" ref="BE31:BE35" si="90">1-BF31</f>
        <v>1</v>
      </c>
      <c r="BF31" s="625">
        <v>0</v>
      </c>
      <c r="BG31" s="649">
        <f t="shared" ref="BG31:BG35" si="91">BQ31-BH31</f>
        <v>1</v>
      </c>
      <c r="BH31" s="597">
        <v>0</v>
      </c>
      <c r="BI31" s="558">
        <f t="shared" si="73"/>
        <v>8</v>
      </c>
      <c r="BJ31" s="597">
        <v>0</v>
      </c>
      <c r="BK31" s="563">
        <f t="shared" si="74"/>
        <v>2</v>
      </c>
      <c r="BL31" s="594">
        <v>5</v>
      </c>
      <c r="BM31" s="200">
        <f t="shared" ref="BM31:BM35" si="92">(BE31+BG31+BI31+BK31)/SUM(BE31:BL31)</f>
        <v>0.70588235294117652</v>
      </c>
      <c r="BN31" s="224">
        <f t="shared" si="75"/>
        <v>55.882352941176478</v>
      </c>
      <c r="BO31" s="278">
        <f t="shared" ref="BO31:BO35" si="93">BN31*BO$8</f>
        <v>25.147058823529417</v>
      </c>
      <c r="BP31" s="60"/>
      <c r="BQ31" s="646">
        <v>1</v>
      </c>
      <c r="BR31" s="548">
        <f t="shared" si="76"/>
        <v>8</v>
      </c>
      <c r="BS31" s="115">
        <v>7</v>
      </c>
      <c r="BT31" s="109">
        <v>0</v>
      </c>
      <c r="BU31" s="109">
        <v>1</v>
      </c>
      <c r="BV31" s="73">
        <v>0</v>
      </c>
      <c r="BW31" s="60"/>
      <c r="BX31" s="298">
        <v>61</v>
      </c>
      <c r="BY31" s="299">
        <v>4.6890000000000001</v>
      </c>
      <c r="BZ31" s="216">
        <f t="shared" si="77"/>
        <v>100</v>
      </c>
      <c r="CA31" s="278">
        <f t="shared" ref="CA31:CA35" si="94">BZ31*CA$8</f>
        <v>20</v>
      </c>
      <c r="CB31" s="60"/>
      <c r="CC31" s="186">
        <v>5</v>
      </c>
      <c r="CD31" s="102">
        <v>2454</v>
      </c>
      <c r="CE31" s="553">
        <f t="shared" si="78"/>
        <v>259</v>
      </c>
      <c r="CF31" s="206">
        <f t="shared" si="79"/>
        <v>9.4749034749034747E-2</v>
      </c>
      <c r="CG31" s="216">
        <f t="shared" si="80"/>
        <v>52.993058518664988</v>
      </c>
      <c r="CH31" s="278">
        <f t="shared" ref="CH31:CH35" si="95">CG31*CH$8</f>
        <v>7.9489587777997475</v>
      </c>
    </row>
    <row r="32" spans="2:87" s="3" customFormat="1" ht="15" x14ac:dyDescent="0.25">
      <c r="B32" s="420" t="s">
        <v>68</v>
      </c>
      <c r="C32" s="421" t="s">
        <v>93</v>
      </c>
      <c r="D32" s="664">
        <f t="shared" si="58"/>
        <v>52246</v>
      </c>
      <c r="E32" s="665">
        <f t="shared" si="59"/>
        <v>14906</v>
      </c>
      <c r="F32" s="679">
        <v>9624</v>
      </c>
      <c r="G32" s="690">
        <f t="shared" si="60"/>
        <v>5282</v>
      </c>
      <c r="H32" s="344">
        <f t="shared" si="61"/>
        <v>67152</v>
      </c>
      <c r="I32" s="362"/>
      <c r="J32" s="353">
        <v>42794</v>
      </c>
      <c r="K32" s="354">
        <f>83071-63</f>
        <v>83008</v>
      </c>
      <c r="L32" s="355" t="s">
        <v>116</v>
      </c>
      <c r="M32" s="355">
        <v>42839</v>
      </c>
      <c r="N32" s="283">
        <v>0</v>
      </c>
      <c r="O32" s="173">
        <v>0</v>
      </c>
      <c r="P32" s="522">
        <f t="shared" si="81"/>
        <v>0</v>
      </c>
      <c r="Q32" s="44" t="s">
        <v>54</v>
      </c>
      <c r="R32" s="534" t="s">
        <v>109</v>
      </c>
      <c r="S32" s="136">
        <v>0</v>
      </c>
      <c r="T32" s="438">
        <v>0</v>
      </c>
      <c r="U32" s="524">
        <f t="shared" si="82"/>
        <v>0</v>
      </c>
      <c r="V32" s="362"/>
      <c r="W32" s="148">
        <f t="shared" si="83"/>
        <v>52245.751873438792</v>
      </c>
      <c r="X32" s="331">
        <f t="shared" si="84"/>
        <v>0</v>
      </c>
      <c r="Y32" s="266">
        <f t="shared" si="85"/>
        <v>52245.751873438792</v>
      </c>
      <c r="Z32" s="341">
        <f t="shared" si="86"/>
        <v>52246</v>
      </c>
      <c r="AA32" s="362"/>
      <c r="AB32" s="606">
        <f t="shared" si="64"/>
        <v>66.695051890487591</v>
      </c>
      <c r="AC32" s="607">
        <f t="shared" si="65"/>
        <v>0.19543886450858072</v>
      </c>
      <c r="AD32" s="608">
        <f t="shared" si="66"/>
        <v>15073.081727250195</v>
      </c>
      <c r="AE32" s="609">
        <f t="shared" si="67"/>
        <v>9.4338093379979338E-2</v>
      </c>
      <c r="AF32" s="610">
        <f t="shared" si="68"/>
        <v>14906</v>
      </c>
      <c r="AG32" s="331">
        <f t="shared" si="69"/>
        <v>0</v>
      </c>
      <c r="AH32" s="331">
        <f t="shared" si="4"/>
        <v>14906</v>
      </c>
      <c r="AI32" s="611">
        <f t="shared" si="5"/>
        <v>14906</v>
      </c>
      <c r="AJ32" s="60"/>
      <c r="AK32" s="530">
        <f t="shared" ref="AK32:AK34" si="96">AL32+AN32</f>
        <v>226</v>
      </c>
      <c r="AL32" s="69">
        <v>224</v>
      </c>
      <c r="AM32" s="69">
        <v>1</v>
      </c>
      <c r="AN32" s="70">
        <v>2</v>
      </c>
      <c r="AO32" s="71">
        <v>50</v>
      </c>
      <c r="AP32" s="72">
        <v>24</v>
      </c>
      <c r="AQ32" s="73">
        <v>152</v>
      </c>
      <c r="AR32" s="60"/>
      <c r="AS32" s="186">
        <v>201</v>
      </c>
      <c r="AT32" s="583">
        <f t="shared" si="70"/>
        <v>226</v>
      </c>
      <c r="AU32" s="182">
        <f t="shared" ref="AU32:AU35" si="97">AT32-AS32</f>
        <v>25</v>
      </c>
      <c r="AV32" s="288">
        <f t="shared" si="87"/>
        <v>0.12437810945273632</v>
      </c>
      <c r="AW32" s="60"/>
      <c r="AX32" s="186">
        <v>129</v>
      </c>
      <c r="AY32" s="583">
        <f t="shared" si="71"/>
        <v>152</v>
      </c>
      <c r="AZ32" s="182">
        <f t="shared" ref="AZ32:AZ35" si="98">AY32-AX32</f>
        <v>23</v>
      </c>
      <c r="BA32" s="197">
        <f t="shared" si="88"/>
        <v>0.17829457364341086</v>
      </c>
      <c r="BB32" s="224">
        <f t="shared" si="72"/>
        <v>78.026605416786282</v>
      </c>
      <c r="BC32" s="278">
        <f t="shared" si="89"/>
        <v>15.605321083357257</v>
      </c>
      <c r="BD32" s="60"/>
      <c r="BE32" s="558">
        <f t="shared" si="90"/>
        <v>1</v>
      </c>
      <c r="BF32" s="625">
        <v>0</v>
      </c>
      <c r="BG32" s="649">
        <f t="shared" si="91"/>
        <v>1</v>
      </c>
      <c r="BH32" s="597">
        <v>0</v>
      </c>
      <c r="BI32" s="558">
        <f t="shared" si="73"/>
        <v>6</v>
      </c>
      <c r="BJ32" s="597">
        <v>2</v>
      </c>
      <c r="BK32" s="563">
        <f t="shared" si="74"/>
        <v>3</v>
      </c>
      <c r="BL32" s="594">
        <v>1</v>
      </c>
      <c r="BM32" s="200">
        <f t="shared" si="92"/>
        <v>0.7857142857142857</v>
      </c>
      <c r="BN32" s="224">
        <f t="shared" si="75"/>
        <v>67.857142857142847</v>
      </c>
      <c r="BO32" s="278">
        <f t="shared" si="93"/>
        <v>30.535714285714281</v>
      </c>
      <c r="BP32" s="60"/>
      <c r="BQ32" s="646">
        <v>1</v>
      </c>
      <c r="BR32" s="548">
        <f t="shared" si="76"/>
        <v>8</v>
      </c>
      <c r="BS32" s="115">
        <v>4</v>
      </c>
      <c r="BT32" s="109">
        <v>2</v>
      </c>
      <c r="BU32" s="109">
        <v>2</v>
      </c>
      <c r="BV32" s="73">
        <v>0</v>
      </c>
      <c r="BW32" s="60"/>
      <c r="BX32" s="298">
        <v>16</v>
      </c>
      <c r="BY32" s="299">
        <v>3.5630000000000002</v>
      </c>
      <c r="BZ32" s="216">
        <f t="shared" si="77"/>
        <v>66.448152562574506</v>
      </c>
      <c r="CA32" s="278">
        <f t="shared" si="94"/>
        <v>13.289630512514902</v>
      </c>
      <c r="CB32" s="60"/>
      <c r="CC32" s="186">
        <v>4</v>
      </c>
      <c r="CD32" s="102">
        <v>1117</v>
      </c>
      <c r="CE32" s="553">
        <f t="shared" si="78"/>
        <v>129</v>
      </c>
      <c r="CF32" s="206">
        <f t="shared" si="79"/>
        <v>8.6589147286821697E-2</v>
      </c>
      <c r="CG32" s="216">
        <f t="shared" si="80"/>
        <v>48.429240059340984</v>
      </c>
      <c r="CH32" s="278">
        <f t="shared" si="95"/>
        <v>7.2643860089011474</v>
      </c>
    </row>
    <row r="33" spans="2:86" s="3" customFormat="1" ht="15" x14ac:dyDescent="0.25">
      <c r="B33" s="420" t="s">
        <v>69</v>
      </c>
      <c r="C33" s="421" t="s">
        <v>94</v>
      </c>
      <c r="D33" s="664">
        <f t="shared" si="58"/>
        <v>9431</v>
      </c>
      <c r="E33" s="665">
        <f t="shared" si="59"/>
        <v>3223</v>
      </c>
      <c r="F33" s="679">
        <v>2081</v>
      </c>
      <c r="G33" s="690">
        <f t="shared" si="60"/>
        <v>1142</v>
      </c>
      <c r="H33" s="344">
        <f t="shared" si="61"/>
        <v>12654</v>
      </c>
      <c r="I33" s="362"/>
      <c r="J33" s="353">
        <v>42766</v>
      </c>
      <c r="K33" s="354">
        <v>20050</v>
      </c>
      <c r="L33" s="355">
        <v>42773</v>
      </c>
      <c r="M33" s="355">
        <v>42841</v>
      </c>
      <c r="N33" s="283">
        <v>0</v>
      </c>
      <c r="O33" s="173">
        <v>0</v>
      </c>
      <c r="P33" s="522">
        <f t="shared" si="81"/>
        <v>0</v>
      </c>
      <c r="Q33" s="44" t="s">
        <v>54</v>
      </c>
      <c r="R33" s="534" t="s">
        <v>109</v>
      </c>
      <c r="S33" s="136">
        <v>0</v>
      </c>
      <c r="T33" s="68">
        <v>0</v>
      </c>
      <c r="U33" s="524">
        <f t="shared" si="82"/>
        <v>0</v>
      </c>
      <c r="V33" s="362"/>
      <c r="W33" s="148">
        <f t="shared" si="83"/>
        <v>9430.6411323896755</v>
      </c>
      <c r="X33" s="331">
        <f t="shared" si="84"/>
        <v>0</v>
      </c>
      <c r="Y33" s="266">
        <f t="shared" si="85"/>
        <v>9430.6411323896755</v>
      </c>
      <c r="Z33" s="341">
        <f t="shared" si="86"/>
        <v>9431</v>
      </c>
      <c r="AA33" s="362"/>
      <c r="AB33" s="606">
        <f t="shared" si="64"/>
        <v>69.349833244460896</v>
      </c>
      <c r="AC33" s="607">
        <f t="shared" si="65"/>
        <v>0.24302303630776412</v>
      </c>
      <c r="AD33" s="608">
        <f t="shared" si="66"/>
        <v>3259.4421624896622</v>
      </c>
      <c r="AE33" s="609">
        <f t="shared" si="67"/>
        <v>2.0399913213214382E-2</v>
      </c>
      <c r="AF33" s="610">
        <f t="shared" si="68"/>
        <v>3223</v>
      </c>
      <c r="AG33" s="331">
        <f t="shared" si="69"/>
        <v>0</v>
      </c>
      <c r="AH33" s="331">
        <f t="shared" si="4"/>
        <v>3223</v>
      </c>
      <c r="AI33" s="611">
        <f t="shared" si="5"/>
        <v>3223</v>
      </c>
      <c r="AJ33" s="60"/>
      <c r="AK33" s="530">
        <f t="shared" si="96"/>
        <v>47</v>
      </c>
      <c r="AL33" s="69">
        <v>46</v>
      </c>
      <c r="AM33" s="69">
        <v>0</v>
      </c>
      <c r="AN33" s="70">
        <v>1</v>
      </c>
      <c r="AO33" s="71">
        <v>18</v>
      </c>
      <c r="AP33" s="72">
        <v>5</v>
      </c>
      <c r="AQ33" s="73">
        <v>24</v>
      </c>
      <c r="AR33" s="60"/>
      <c r="AS33" s="186">
        <v>54</v>
      </c>
      <c r="AT33" s="583">
        <f t="shared" si="70"/>
        <v>47</v>
      </c>
      <c r="AU33" s="182">
        <f t="shared" si="97"/>
        <v>-7</v>
      </c>
      <c r="AV33" s="288">
        <f t="shared" si="87"/>
        <v>-0.12962962962962962</v>
      </c>
      <c r="AW33" s="60"/>
      <c r="AX33" s="186">
        <v>27</v>
      </c>
      <c r="AY33" s="583">
        <f t="shared" si="71"/>
        <v>24</v>
      </c>
      <c r="AZ33" s="182">
        <f t="shared" si="98"/>
        <v>-3</v>
      </c>
      <c r="BA33" s="197">
        <f t="shared" si="88"/>
        <v>-0.1111111111111111</v>
      </c>
      <c r="BB33" s="224">
        <f t="shared" si="72"/>
        <v>21.262002743484224</v>
      </c>
      <c r="BC33" s="278">
        <f t="shared" si="89"/>
        <v>4.252400548696845</v>
      </c>
      <c r="BD33" s="60"/>
      <c r="BE33" s="558">
        <f t="shared" si="90"/>
        <v>1</v>
      </c>
      <c r="BF33" s="625">
        <v>0</v>
      </c>
      <c r="BG33" s="649">
        <f t="shared" si="91"/>
        <v>1</v>
      </c>
      <c r="BH33" s="72">
        <v>0</v>
      </c>
      <c r="BI33" s="558">
        <f t="shared" si="73"/>
        <v>4</v>
      </c>
      <c r="BJ33" s="72">
        <v>0</v>
      </c>
      <c r="BK33" s="563">
        <f t="shared" si="74"/>
        <v>2</v>
      </c>
      <c r="BL33" s="594">
        <v>0</v>
      </c>
      <c r="BM33" s="200">
        <f t="shared" si="92"/>
        <v>1</v>
      </c>
      <c r="BN33" s="224">
        <f t="shared" si="75"/>
        <v>100</v>
      </c>
      <c r="BO33" s="278">
        <f t="shared" si="93"/>
        <v>45</v>
      </c>
      <c r="BP33" s="60"/>
      <c r="BQ33" s="646">
        <v>1</v>
      </c>
      <c r="BR33" s="548">
        <f t="shared" si="76"/>
        <v>4</v>
      </c>
      <c r="BS33" s="115">
        <v>2</v>
      </c>
      <c r="BT33" s="109">
        <v>0</v>
      </c>
      <c r="BU33" s="109">
        <v>1</v>
      </c>
      <c r="BV33" s="73">
        <v>1</v>
      </c>
      <c r="BW33" s="60"/>
      <c r="BX33" s="298">
        <v>10</v>
      </c>
      <c r="BY33" s="299">
        <v>3.6</v>
      </c>
      <c r="BZ33" s="216">
        <f t="shared" si="77"/>
        <v>67.550655542312299</v>
      </c>
      <c r="CA33" s="278">
        <f t="shared" si="94"/>
        <v>13.51013110846246</v>
      </c>
      <c r="CB33" s="60"/>
      <c r="CC33" s="186">
        <v>1</v>
      </c>
      <c r="CD33" s="102">
        <v>212</v>
      </c>
      <c r="CE33" s="553">
        <f t="shared" si="78"/>
        <v>27</v>
      </c>
      <c r="CF33" s="206">
        <f t="shared" si="79"/>
        <v>7.8518518518518515E-2</v>
      </c>
      <c r="CG33" s="216">
        <f t="shared" si="80"/>
        <v>43.915343915343918</v>
      </c>
      <c r="CH33" s="278">
        <f t="shared" si="95"/>
        <v>6.5873015873015879</v>
      </c>
    </row>
    <row r="34" spans="2:86" s="3" customFormat="1" ht="15" x14ac:dyDescent="0.25">
      <c r="B34" s="420" t="s">
        <v>70</v>
      </c>
      <c r="C34" s="421" t="s">
        <v>95</v>
      </c>
      <c r="D34" s="664">
        <f t="shared" si="58"/>
        <v>13109</v>
      </c>
      <c r="E34" s="665">
        <f t="shared" si="59"/>
        <v>2976</v>
      </c>
      <c r="F34" s="679">
        <v>1922</v>
      </c>
      <c r="G34" s="690">
        <f t="shared" si="60"/>
        <v>1054</v>
      </c>
      <c r="H34" s="344">
        <f t="shared" si="61"/>
        <v>16085</v>
      </c>
      <c r="I34" s="362"/>
      <c r="J34" s="353">
        <v>42765</v>
      </c>
      <c r="K34" s="354">
        <v>15050</v>
      </c>
      <c r="L34" s="355">
        <v>42818</v>
      </c>
      <c r="M34" s="355">
        <v>42855</v>
      </c>
      <c r="N34" s="283">
        <v>0</v>
      </c>
      <c r="O34" s="173">
        <v>0</v>
      </c>
      <c r="P34" s="522">
        <f t="shared" si="81"/>
        <v>0</v>
      </c>
      <c r="Q34" s="44" t="s">
        <v>54</v>
      </c>
      <c r="R34" s="534" t="s">
        <v>109</v>
      </c>
      <c r="S34" s="136">
        <v>0</v>
      </c>
      <c r="T34" s="68">
        <v>0</v>
      </c>
      <c r="U34" s="524">
        <f t="shared" si="82"/>
        <v>0</v>
      </c>
      <c r="V34" s="362"/>
      <c r="W34" s="148">
        <f t="shared" si="83"/>
        <v>13108.591174021647</v>
      </c>
      <c r="X34" s="331">
        <f t="shared" si="84"/>
        <v>0</v>
      </c>
      <c r="Y34" s="266">
        <f t="shared" si="85"/>
        <v>13108.591174021647</v>
      </c>
      <c r="Z34" s="341">
        <f t="shared" ref="Z34:Z35" si="99">ROUND(Y34,0)</f>
        <v>13109</v>
      </c>
      <c r="AA34" s="362"/>
      <c r="AB34" s="606">
        <f t="shared" si="64"/>
        <v>55.731564898231561</v>
      </c>
      <c r="AC34" s="607">
        <f t="shared" si="65"/>
        <v>-1.0701428252364309E-3</v>
      </c>
      <c r="AD34" s="608">
        <f t="shared" si="66"/>
        <v>3009.5045045045044</v>
      </c>
      <c r="AE34" s="609">
        <f t="shared" si="67"/>
        <v>1.8835625130336812E-2</v>
      </c>
      <c r="AF34" s="610">
        <f t="shared" si="68"/>
        <v>2976</v>
      </c>
      <c r="AG34" s="331">
        <f t="shared" si="69"/>
        <v>0</v>
      </c>
      <c r="AH34" s="331">
        <f t="shared" si="4"/>
        <v>2976</v>
      </c>
      <c r="AI34" s="611">
        <f t="shared" si="5"/>
        <v>2976</v>
      </c>
      <c r="AJ34" s="60"/>
      <c r="AK34" s="530">
        <f t="shared" si="96"/>
        <v>54</v>
      </c>
      <c r="AL34" s="69">
        <v>54</v>
      </c>
      <c r="AM34" s="69">
        <v>0</v>
      </c>
      <c r="AN34" s="70">
        <v>0</v>
      </c>
      <c r="AO34" s="71">
        <v>8</v>
      </c>
      <c r="AP34" s="72">
        <v>7</v>
      </c>
      <c r="AQ34" s="73">
        <v>39</v>
      </c>
      <c r="AR34" s="60"/>
      <c r="AS34" s="186">
        <v>51</v>
      </c>
      <c r="AT34" s="583">
        <f t="shared" si="70"/>
        <v>54</v>
      </c>
      <c r="AU34" s="182">
        <f t="shared" si="97"/>
        <v>3</v>
      </c>
      <c r="AV34" s="288">
        <f t="shared" si="87"/>
        <v>5.8823529411764705E-2</v>
      </c>
      <c r="AW34" s="60"/>
      <c r="AX34" s="186">
        <v>37</v>
      </c>
      <c r="AY34" s="583">
        <f t="shared" si="71"/>
        <v>39</v>
      </c>
      <c r="AZ34" s="182">
        <f t="shared" si="98"/>
        <v>2</v>
      </c>
      <c r="BA34" s="197">
        <f t="shared" si="88"/>
        <v>5.4054054054054057E-2</v>
      </c>
      <c r="BB34" s="224">
        <f t="shared" si="72"/>
        <v>53.657824491157811</v>
      </c>
      <c r="BC34" s="278">
        <f t="shared" si="89"/>
        <v>10.731564898231563</v>
      </c>
      <c r="BD34" s="60"/>
      <c r="BE34" s="558">
        <f t="shared" si="90"/>
        <v>1</v>
      </c>
      <c r="BF34" s="625">
        <v>0</v>
      </c>
      <c r="BG34" s="649">
        <f t="shared" si="91"/>
        <v>1</v>
      </c>
      <c r="BH34" s="72">
        <v>0</v>
      </c>
      <c r="BI34" s="558">
        <f t="shared" si="73"/>
        <v>4</v>
      </c>
      <c r="BJ34" s="72">
        <v>0</v>
      </c>
      <c r="BK34" s="563">
        <f t="shared" si="74"/>
        <v>2</v>
      </c>
      <c r="BL34" s="594">
        <v>0</v>
      </c>
      <c r="BM34" s="200">
        <f t="shared" si="92"/>
        <v>1</v>
      </c>
      <c r="BN34" s="224">
        <f t="shared" si="75"/>
        <v>100</v>
      </c>
      <c r="BO34" s="278">
        <f t="shared" si="93"/>
        <v>45</v>
      </c>
      <c r="BP34" s="60"/>
      <c r="BQ34" s="646">
        <v>1</v>
      </c>
      <c r="BR34" s="548">
        <f t="shared" si="76"/>
        <v>4</v>
      </c>
      <c r="BS34" s="115">
        <v>2</v>
      </c>
      <c r="BT34" s="109">
        <v>1</v>
      </c>
      <c r="BU34" s="109">
        <v>1</v>
      </c>
      <c r="BV34" s="73">
        <v>0</v>
      </c>
      <c r="BW34" s="60"/>
      <c r="BX34" s="298">
        <v>6</v>
      </c>
      <c r="BY34" s="299">
        <v>1.333</v>
      </c>
      <c r="BZ34" s="216">
        <f t="shared" si="77"/>
        <v>0</v>
      </c>
      <c r="CA34" s="278">
        <f t="shared" si="94"/>
        <v>0</v>
      </c>
      <c r="CB34" s="60"/>
      <c r="CC34" s="186">
        <v>0</v>
      </c>
      <c r="CD34" s="102">
        <v>0</v>
      </c>
      <c r="CE34" s="553">
        <f t="shared" si="78"/>
        <v>37</v>
      </c>
      <c r="CF34" s="206">
        <f t="shared" si="79"/>
        <v>0</v>
      </c>
      <c r="CG34" s="216">
        <f t="shared" si="80"/>
        <v>0</v>
      </c>
      <c r="CH34" s="278">
        <f t="shared" si="95"/>
        <v>0</v>
      </c>
    </row>
    <row r="35" spans="2:86" s="3" customFormat="1" ht="15.75" thickBot="1" x14ac:dyDescent="0.3">
      <c r="B35" s="422" t="s">
        <v>71</v>
      </c>
      <c r="C35" s="423" t="s">
        <v>110</v>
      </c>
      <c r="D35" s="666">
        <f t="shared" si="58"/>
        <v>9336</v>
      </c>
      <c r="E35" s="663">
        <f t="shared" si="59"/>
        <v>1907</v>
      </c>
      <c r="F35" s="680">
        <v>1231</v>
      </c>
      <c r="G35" s="691">
        <f t="shared" si="60"/>
        <v>676</v>
      </c>
      <c r="H35" s="345">
        <f t="shared" si="61"/>
        <v>11243</v>
      </c>
      <c r="I35" s="362"/>
      <c r="J35" s="356">
        <v>42772</v>
      </c>
      <c r="K35" s="357">
        <v>13815</v>
      </c>
      <c r="L35" s="358">
        <v>42794</v>
      </c>
      <c r="M35" s="358">
        <v>42828</v>
      </c>
      <c r="N35" s="359">
        <v>0</v>
      </c>
      <c r="O35" s="177">
        <v>0</v>
      </c>
      <c r="P35" s="523">
        <f t="shared" ref="P35" si="100">IF(O35="","",O35*5/100)</f>
        <v>0</v>
      </c>
      <c r="Q35" s="346" t="s">
        <v>54</v>
      </c>
      <c r="R35" s="535" t="s">
        <v>109</v>
      </c>
      <c r="S35" s="137">
        <v>0</v>
      </c>
      <c r="T35" s="75">
        <v>0</v>
      </c>
      <c r="U35" s="525">
        <f t="shared" ref="U35" si="101">IF(T35="","",T35*5/100)</f>
        <v>0</v>
      </c>
      <c r="V35" s="362"/>
      <c r="W35" s="349">
        <f t="shared" si="83"/>
        <v>9336.3347210657776</v>
      </c>
      <c r="X35" s="267">
        <f t="shared" si="84"/>
        <v>0</v>
      </c>
      <c r="Y35" s="342">
        <f t="shared" si="85"/>
        <v>9336.3347210657776</v>
      </c>
      <c r="Z35" s="343">
        <f t="shared" si="99"/>
        <v>9336</v>
      </c>
      <c r="AA35" s="362"/>
      <c r="AB35" s="612">
        <f t="shared" si="64"/>
        <v>39.351912950071558</v>
      </c>
      <c r="AC35" s="613">
        <f t="shared" si="65"/>
        <v>-0.29465822726223023</v>
      </c>
      <c r="AD35" s="614">
        <f t="shared" si="66"/>
        <v>1928.2437345535063</v>
      </c>
      <c r="AE35" s="615">
        <f t="shared" si="67"/>
        <v>1.2068324233975629E-2</v>
      </c>
      <c r="AF35" s="616">
        <f t="shared" si="68"/>
        <v>1907</v>
      </c>
      <c r="AG35" s="617">
        <f t="shared" si="69"/>
        <v>0</v>
      </c>
      <c r="AH35" s="617">
        <f t="shared" si="4"/>
        <v>1907</v>
      </c>
      <c r="AI35" s="618">
        <f t="shared" si="5"/>
        <v>1907</v>
      </c>
      <c r="AJ35" s="60"/>
      <c r="AK35" s="531">
        <f>AL35+AN35</f>
        <v>49</v>
      </c>
      <c r="AL35" s="76">
        <v>49</v>
      </c>
      <c r="AM35" s="76">
        <v>0</v>
      </c>
      <c r="AN35" s="77">
        <v>0</v>
      </c>
      <c r="AO35" s="78">
        <v>20</v>
      </c>
      <c r="AP35" s="79">
        <v>8</v>
      </c>
      <c r="AQ35" s="80">
        <v>21</v>
      </c>
      <c r="AR35" s="60"/>
      <c r="AS35" s="187">
        <v>54</v>
      </c>
      <c r="AT35" s="584">
        <f t="shared" si="70"/>
        <v>49</v>
      </c>
      <c r="AU35" s="183">
        <f t="shared" si="97"/>
        <v>-5</v>
      </c>
      <c r="AV35" s="289">
        <f t="shared" si="87"/>
        <v>-9.2592592592592587E-2</v>
      </c>
      <c r="AW35" s="60"/>
      <c r="AX35" s="187">
        <v>23</v>
      </c>
      <c r="AY35" s="584">
        <f t="shared" si="71"/>
        <v>21</v>
      </c>
      <c r="AZ35" s="183">
        <f t="shared" si="98"/>
        <v>-2</v>
      </c>
      <c r="BA35" s="198">
        <f t="shared" si="88"/>
        <v>-8.6956521739130432E-2</v>
      </c>
      <c r="BB35" s="225">
        <f t="shared" si="72"/>
        <v>25.999731615673642</v>
      </c>
      <c r="BC35" s="279">
        <f t="shared" si="89"/>
        <v>5.1999463231347285</v>
      </c>
      <c r="BD35" s="60"/>
      <c r="BE35" s="559">
        <f t="shared" si="90"/>
        <v>1</v>
      </c>
      <c r="BF35" s="626">
        <v>0</v>
      </c>
      <c r="BG35" s="650">
        <f t="shared" si="91"/>
        <v>1</v>
      </c>
      <c r="BH35" s="79">
        <v>0</v>
      </c>
      <c r="BI35" s="559">
        <f t="shared" si="73"/>
        <v>2</v>
      </c>
      <c r="BJ35" s="79">
        <v>0</v>
      </c>
      <c r="BK35" s="564">
        <f t="shared" si="74"/>
        <v>0</v>
      </c>
      <c r="BL35" s="595">
        <v>1</v>
      </c>
      <c r="BM35" s="201">
        <f t="shared" si="92"/>
        <v>0.8</v>
      </c>
      <c r="BN35" s="225">
        <f t="shared" si="75"/>
        <v>70</v>
      </c>
      <c r="BO35" s="279">
        <f t="shared" si="93"/>
        <v>31.5</v>
      </c>
      <c r="BP35" s="60"/>
      <c r="BQ35" s="647">
        <v>1</v>
      </c>
      <c r="BR35" s="549">
        <f t="shared" si="76"/>
        <v>2</v>
      </c>
      <c r="BS35" s="116">
        <v>1</v>
      </c>
      <c r="BT35" s="110">
        <v>0</v>
      </c>
      <c r="BU35" s="110">
        <v>1</v>
      </c>
      <c r="BV35" s="80">
        <v>0</v>
      </c>
      <c r="BW35" s="60"/>
      <c r="BX35" s="300">
        <v>9</v>
      </c>
      <c r="BY35" s="301">
        <v>1.778</v>
      </c>
      <c r="BZ35" s="217">
        <f t="shared" si="77"/>
        <v>13.25983313468415</v>
      </c>
      <c r="CA35" s="279">
        <f t="shared" si="94"/>
        <v>2.6519666269368303</v>
      </c>
      <c r="CB35" s="60"/>
      <c r="CC35" s="187">
        <v>0</v>
      </c>
      <c r="CD35" s="103">
        <v>0</v>
      </c>
      <c r="CE35" s="554">
        <f t="shared" si="78"/>
        <v>23</v>
      </c>
      <c r="CF35" s="207">
        <f t="shared" si="79"/>
        <v>0</v>
      </c>
      <c r="CG35" s="217">
        <f t="shared" si="80"/>
        <v>0</v>
      </c>
      <c r="CH35" s="279">
        <f t="shared" si="95"/>
        <v>0</v>
      </c>
    </row>
    <row r="36" spans="2:86" s="3" customFormat="1" ht="9.75" customHeight="1" thickBot="1" x14ac:dyDescent="0.3">
      <c r="B36" s="8"/>
      <c r="C36" s="7"/>
      <c r="D36" s="35"/>
      <c r="E36" s="35"/>
      <c r="F36" s="670"/>
      <c r="G36" s="670"/>
      <c r="H36" s="35"/>
      <c r="I36" s="60"/>
      <c r="J36" s="35"/>
      <c r="K36" s="35"/>
      <c r="L36" s="35"/>
      <c r="M36" s="35"/>
      <c r="N36" s="90"/>
      <c r="O36" s="90"/>
      <c r="P36" s="90"/>
      <c r="Q36" s="35"/>
      <c r="R36" s="35"/>
      <c r="S36" s="281"/>
      <c r="T36" s="90"/>
      <c r="U36" s="90"/>
      <c r="V36" s="60"/>
      <c r="W36" s="90"/>
      <c r="X36" s="90"/>
      <c r="Y36" s="90"/>
      <c r="Z36" s="90"/>
      <c r="AA36" s="60"/>
      <c r="AB36" s="90"/>
      <c r="AC36" s="90"/>
      <c r="AD36" s="90"/>
      <c r="AE36" s="90"/>
      <c r="AF36" s="90"/>
      <c r="AG36" s="90"/>
      <c r="AH36" s="90"/>
      <c r="AI36" s="90"/>
      <c r="AJ36" s="60"/>
      <c r="AK36" s="90"/>
      <c r="AL36" s="90"/>
      <c r="AM36" s="90"/>
      <c r="AN36" s="91"/>
      <c r="AO36" s="92"/>
      <c r="AP36" s="90"/>
      <c r="AQ36" s="90"/>
      <c r="AR36" s="60"/>
      <c r="AS36" s="90"/>
      <c r="AT36" s="90"/>
      <c r="AU36" s="90"/>
      <c r="AV36" s="90"/>
      <c r="AW36" s="60"/>
      <c r="AX36" s="90"/>
      <c r="AY36" s="90"/>
      <c r="AZ36" s="90"/>
      <c r="BA36" s="90"/>
      <c r="BB36" s="90"/>
      <c r="BC36" s="90"/>
      <c r="BD36" s="60"/>
      <c r="BE36" s="92"/>
      <c r="BF36" s="92"/>
      <c r="BG36" s="92"/>
      <c r="BH36" s="90"/>
      <c r="BI36" s="92"/>
      <c r="BJ36" s="90"/>
      <c r="BK36" s="90"/>
      <c r="BL36" s="90"/>
      <c r="BM36" s="90"/>
      <c r="BN36" s="90"/>
      <c r="BO36" s="90"/>
      <c r="BP36" s="60"/>
      <c r="BQ36" s="90"/>
      <c r="BR36" s="90"/>
      <c r="BS36" s="90"/>
      <c r="BT36" s="90"/>
      <c r="BU36" s="90"/>
      <c r="BV36" s="90"/>
      <c r="BW36" s="60"/>
      <c r="BX36" s="294"/>
      <c r="BY36" s="292"/>
      <c r="BZ36" s="90"/>
      <c r="CA36" s="90"/>
      <c r="CB36" s="60"/>
      <c r="CC36" s="90"/>
      <c r="CD36" s="90"/>
      <c r="CE36" s="90"/>
      <c r="CF36" s="90"/>
      <c r="CG36" s="90"/>
      <c r="CH36" s="90"/>
    </row>
    <row r="37" spans="2:86" s="5" customFormat="1" ht="15.75" thickBot="1" x14ac:dyDescent="0.3">
      <c r="B37" s="214">
        <v>510</v>
      </c>
      <c r="C37" s="31" t="s">
        <v>72</v>
      </c>
      <c r="D37" s="245">
        <f>D5</f>
        <v>566310</v>
      </c>
      <c r="E37" s="246">
        <f>E5</f>
        <v>233000</v>
      </c>
      <c r="F37" s="698">
        <v>177021</v>
      </c>
      <c r="G37" s="699">
        <v>55990</v>
      </c>
      <c r="H37" s="247">
        <f>SUM(D37:E37)</f>
        <v>799310</v>
      </c>
      <c r="I37" s="133"/>
      <c r="J37" s="440" t="s">
        <v>52</v>
      </c>
      <c r="K37" s="326" t="s">
        <v>52</v>
      </c>
      <c r="L37" s="326" t="s">
        <v>52</v>
      </c>
      <c r="M37" s="441" t="s">
        <v>52</v>
      </c>
      <c r="N37" s="439" t="s">
        <v>52</v>
      </c>
      <c r="O37" s="97" t="s">
        <v>52</v>
      </c>
      <c r="P37" s="97" t="s">
        <v>52</v>
      </c>
      <c r="Q37" s="442" t="s">
        <v>52</v>
      </c>
      <c r="R37" s="443" t="s">
        <v>52</v>
      </c>
      <c r="S37" s="444" t="s">
        <v>52</v>
      </c>
      <c r="T37" s="445" t="s">
        <v>52</v>
      </c>
      <c r="U37" s="97" t="s">
        <v>52</v>
      </c>
      <c r="V37" s="133"/>
      <c r="W37" s="151">
        <f>D37</f>
        <v>566310</v>
      </c>
      <c r="X37" s="161" t="s">
        <v>52</v>
      </c>
      <c r="Y37" s="161" t="s">
        <v>52</v>
      </c>
      <c r="Z37" s="273">
        <f>W37</f>
        <v>566310</v>
      </c>
      <c r="AA37" s="133"/>
      <c r="AB37" s="325">
        <f>SUM(AB11:AB14,AB17:AB17,AB20:AB27,AB30:AB35)</f>
        <v>1171.6166600255165</v>
      </c>
      <c r="AC37" s="326" t="s">
        <v>52</v>
      </c>
      <c r="AD37" s="327">
        <f>SUM(AD11:AD14,AD17:AD17,AD20:AD27,AD30:AD35)</f>
        <v>159777.2563256938</v>
      </c>
      <c r="AE37" s="328">
        <f>AD37/$AD$37</f>
        <v>1</v>
      </c>
      <c r="AF37" s="329">
        <f>E37</f>
        <v>233000</v>
      </c>
      <c r="AG37" s="161" t="s">
        <v>52</v>
      </c>
      <c r="AH37" s="161" t="s">
        <v>52</v>
      </c>
      <c r="AI37" s="273">
        <f>AF37</f>
        <v>233000</v>
      </c>
      <c r="AJ37" s="143"/>
      <c r="AK37" s="139">
        <f>SUM(AK11:AK14,AK17:AK17,AK20:AK27,AK30:AK35)</f>
        <v>2485</v>
      </c>
      <c r="AL37" s="93">
        <f>SUM(AL11:AL14,AL17:AL17,AL20:AL27,AL30:AL35)</f>
        <v>2464</v>
      </c>
      <c r="AM37" s="93">
        <f>SUM(AM11:AM14,AM17:AM17,AM20:AM27,AM30:AM35)</f>
        <v>5</v>
      </c>
      <c r="AN37" s="123">
        <f>SUM(AN11:AN14,AN17:AN17,AN20:AN27,AN30:AN35)</f>
        <v>21</v>
      </c>
      <c r="AO37" s="94">
        <f t="shared" ref="AO37:AQ37" si="102">SUM(AO11:AO14,AO17:AO17,AO20:AO27,AO30:AO35)</f>
        <v>580</v>
      </c>
      <c r="AP37" s="95">
        <f t="shared" si="102"/>
        <v>290</v>
      </c>
      <c r="AQ37" s="96">
        <f t="shared" si="102"/>
        <v>1615</v>
      </c>
      <c r="AR37" s="143"/>
      <c r="AS37" s="189">
        <f>SUM(AS11:AS14,AS17:AS17,AS20:AS27,AS30:AS35)</f>
        <v>2412</v>
      </c>
      <c r="AT37" s="591">
        <f>SUM(AT11:AT14,AT17:AT17,AT20:AT27,AT30:AT35)</f>
        <v>2485</v>
      </c>
      <c r="AU37" s="191">
        <f>SUM(AU11:AU14,AU17:AU17,AU20:AU27,AU30:AU35)</f>
        <v>73</v>
      </c>
      <c r="AV37" s="290">
        <f>AU37/AS37</f>
        <v>3.0265339966832505E-2</v>
      </c>
      <c r="AW37" s="143"/>
      <c r="AX37" s="189">
        <f>SUM(AX11:AX14,AX17:AX17,AX20:AX27,AX30:AX35)</f>
        <v>1566</v>
      </c>
      <c r="AY37" s="190">
        <f>SUM(AY11:AY14,AY17:AY17,AY20:AY27,AY30:AY35)</f>
        <v>1615</v>
      </c>
      <c r="AZ37" s="191">
        <f>SUM(AZ11:AZ14,AZ17:AZ17,AZ20:AZ27,AZ30:AZ35)</f>
        <v>49</v>
      </c>
      <c r="BA37" s="199">
        <f>AZ37/AX37</f>
        <v>3.1289910600255426E-2</v>
      </c>
      <c r="BB37" s="218" t="s">
        <v>52</v>
      </c>
      <c r="BC37" s="219" t="s">
        <v>52</v>
      </c>
      <c r="BD37" s="143"/>
      <c r="BE37" s="195">
        <f>SUM(BE11:BE14,BE17:BE17,BE20:BE27,BE30:BE35)</f>
        <v>18</v>
      </c>
      <c r="BF37" s="632">
        <f t="shared" ref="BF37:BG37" si="103">SUM(BF11:BF14,BF17:BF17,BF20:BF27,BF30:BF35)</f>
        <v>1</v>
      </c>
      <c r="BG37" s="640">
        <f t="shared" si="103"/>
        <v>17</v>
      </c>
      <c r="BH37" s="95">
        <f>SUM(BH11:BH14,BH17:BH17,BH20:BH27,BH30:BH35)</f>
        <v>2</v>
      </c>
      <c r="BI37" s="195">
        <f>SUM(BI11:BI14,BI17:BI17,BI20:BI27,BI30:BI35)</f>
        <v>85</v>
      </c>
      <c r="BJ37" s="95">
        <f>SUM(BJ11:BJ14,BJ17:BJ17,BJ20:BJ27,BJ30:BJ35)</f>
        <v>12</v>
      </c>
      <c r="BK37" s="105">
        <f>SUM(BK11:BK14,BK17:BK17,BK20:BK27,BK30:BK35)</f>
        <v>41</v>
      </c>
      <c r="BL37" s="96">
        <f>SUM(BL11:BL14,BL17:BL17,BL20:BL27,BL30:BL35)</f>
        <v>26</v>
      </c>
      <c r="BM37" s="202">
        <f>(BE37+BK37)/SUM(BE37:BL37)</f>
        <v>0.29207920792079206</v>
      </c>
      <c r="BN37" s="226" t="s">
        <v>52</v>
      </c>
      <c r="BO37" s="219" t="s">
        <v>52</v>
      </c>
      <c r="BP37" s="143"/>
      <c r="BQ37" s="121">
        <f t="shared" ref="BQ37:BV37" si="104">SUM(BQ11:BQ14,BQ17:BQ17,BQ20:BQ27,BQ30:BQ35)</f>
        <v>19</v>
      </c>
      <c r="BR37" s="121">
        <f t="shared" si="104"/>
        <v>97</v>
      </c>
      <c r="BS37" s="118">
        <f t="shared" si="104"/>
        <v>67</v>
      </c>
      <c r="BT37" s="112">
        <f t="shared" si="104"/>
        <v>11</v>
      </c>
      <c r="BU37" s="112">
        <f t="shared" si="104"/>
        <v>17</v>
      </c>
      <c r="BV37" s="96">
        <f t="shared" si="104"/>
        <v>2</v>
      </c>
      <c r="BW37" s="143"/>
      <c r="BX37" s="304">
        <f>SUM(BX11:BX14,BX17,BX20:BX27,BX30:BX35)</f>
        <v>279</v>
      </c>
      <c r="BY37" s="538" t="s">
        <v>52</v>
      </c>
      <c r="BZ37" s="218" t="s">
        <v>52</v>
      </c>
      <c r="CA37" s="219" t="s">
        <v>52</v>
      </c>
      <c r="CB37" s="143"/>
      <c r="CC37" s="189">
        <f>SUM(CC11:CC14,CC17:CC17,CC20:CC27,CC30:CC35)</f>
        <v>41</v>
      </c>
      <c r="CD37" s="105">
        <f>SUM(CD11:CD14,CD17:CD17,CD20:CD27,CD30:CD35)</f>
        <v>15538</v>
      </c>
      <c r="CE37" s="112">
        <f>SUM(CE11:CE14,CE17:CE17,CE20:CE27,CE30:CE35)</f>
        <v>1566</v>
      </c>
      <c r="CF37" s="208">
        <f>CD37/CE37/100</f>
        <v>9.9220945083014045E-2</v>
      </c>
      <c r="CG37" s="218" t="s">
        <v>52</v>
      </c>
      <c r="CH37" s="219" t="s">
        <v>52</v>
      </c>
    </row>
    <row r="38" spans="2:86" ht="15" x14ac:dyDescent="0.25">
      <c r="C38" s="390" t="s">
        <v>100</v>
      </c>
      <c r="D38" s="391">
        <f>Z38</f>
        <v>0</v>
      </c>
      <c r="E38" s="393">
        <f>AI38</f>
        <v>74989</v>
      </c>
      <c r="F38" s="693">
        <v>75000</v>
      </c>
      <c r="G38" s="694">
        <v>0</v>
      </c>
      <c r="H38" s="392">
        <f>SUM(D38:E38)</f>
        <v>74989</v>
      </c>
      <c r="J38" s="239"/>
      <c r="K38" s="239"/>
      <c r="L38" s="239"/>
      <c r="M38" s="239"/>
      <c r="N38" s="240"/>
      <c r="O38" s="240"/>
      <c r="P38" s="240"/>
      <c r="W38" s="159">
        <v>0</v>
      </c>
      <c r="X38" s="160">
        <f>ABS(SUM(X11:X14,X17,X20:X27,X30:X35))</f>
        <v>0</v>
      </c>
      <c r="Y38" s="160">
        <f>X38</f>
        <v>0</v>
      </c>
      <c r="Z38" s="274">
        <f>W38+ROUND(X38,0)</f>
        <v>0</v>
      </c>
      <c r="AB38" s="257"/>
      <c r="AC38" s="257"/>
      <c r="AD38" s="257"/>
      <c r="AE38" s="258"/>
      <c r="AF38" s="321">
        <f>$H$5</f>
        <v>74989</v>
      </c>
      <c r="AG38" s="160">
        <f>ABS(SUM(AG11:AG14,AG17,AG20:AG27,AG30:AG35))</f>
        <v>0</v>
      </c>
      <c r="AH38" s="160">
        <f>AF38+AG38</f>
        <v>74989</v>
      </c>
      <c r="AI38" s="274">
        <f>AF38+ROUND(AG38,0)</f>
        <v>74989</v>
      </c>
      <c r="AJ38" s="127"/>
      <c r="AK38" s="127"/>
      <c r="AR38" s="127"/>
      <c r="AS38" s="127"/>
      <c r="AT38" s="127"/>
      <c r="AU38" s="127"/>
      <c r="AV38" s="127"/>
      <c r="AW38" s="127"/>
      <c r="BD38" s="127"/>
      <c r="BP38" s="127"/>
      <c r="BW38" s="127"/>
      <c r="CB38" s="127"/>
    </row>
    <row r="39" spans="2:86" ht="15" x14ac:dyDescent="0.25">
      <c r="C39" s="40" t="s">
        <v>73</v>
      </c>
      <c r="D39" s="248">
        <f>Z39</f>
        <v>0</v>
      </c>
      <c r="E39" s="249">
        <f>AI39</f>
        <v>0</v>
      </c>
      <c r="F39" s="695">
        <v>1</v>
      </c>
      <c r="G39" s="703">
        <v>-1</v>
      </c>
      <c r="H39" s="250">
        <f>SUM(D39:E39)</f>
        <v>0</v>
      </c>
      <c r="J39" s="241"/>
      <c r="K39" s="241"/>
      <c r="L39" s="241"/>
      <c r="M39" s="241"/>
      <c r="N39" s="162"/>
      <c r="O39" s="162"/>
      <c r="P39" s="162"/>
      <c r="W39" s="157">
        <v>0</v>
      </c>
      <c r="X39" s="158" t="s">
        <v>52</v>
      </c>
      <c r="Y39" s="158" t="s">
        <v>52</v>
      </c>
      <c r="Z39" s="275">
        <f>(W37-Z38)-Z40</f>
        <v>0</v>
      </c>
      <c r="AB39" s="259"/>
      <c r="AC39" s="259"/>
      <c r="AD39" s="259"/>
      <c r="AE39" s="260"/>
      <c r="AF39" s="322">
        <v>0</v>
      </c>
      <c r="AG39" s="158" t="s">
        <v>52</v>
      </c>
      <c r="AH39" s="158" t="s">
        <v>52</v>
      </c>
      <c r="AI39" s="275">
        <f>(AF37-AI38)-AI40</f>
        <v>0</v>
      </c>
      <c r="AJ39" s="127"/>
      <c r="AK39" s="127"/>
      <c r="AR39" s="127"/>
      <c r="AS39" s="127"/>
      <c r="AT39" s="127"/>
      <c r="AU39" s="127"/>
      <c r="AV39" s="127"/>
      <c r="AW39" s="127"/>
      <c r="BD39" s="127"/>
      <c r="BP39" s="127"/>
      <c r="BW39" s="127"/>
      <c r="CB39" s="127"/>
    </row>
    <row r="40" spans="2:86" ht="15.75" thickBot="1" x14ac:dyDescent="0.3">
      <c r="C40" s="41" t="s">
        <v>74</v>
      </c>
      <c r="D40" s="242">
        <f>SUM(D11:D14,D17,D20:D27,D30:D35)</f>
        <v>566310</v>
      </c>
      <c r="E40" s="243">
        <f>SUM(E11:E14,E17,E20:E27,E30:E35)</f>
        <v>158011</v>
      </c>
      <c r="F40" s="696">
        <f>F37-F38-F39</f>
        <v>102020</v>
      </c>
      <c r="G40" s="697">
        <f>SUM(G11:G14,G17,G20:G27,G30:G35)</f>
        <v>55991</v>
      </c>
      <c r="H40" s="244">
        <f>SUM(D40:E40)</f>
        <v>724321</v>
      </c>
      <c r="J40" s="241"/>
      <c r="K40" s="241"/>
      <c r="L40" s="241"/>
      <c r="M40" s="241"/>
      <c r="N40" s="162"/>
      <c r="O40" s="162"/>
      <c r="P40" s="162"/>
      <c r="W40" s="155">
        <f>W37-W38</f>
        <v>566310</v>
      </c>
      <c r="X40" s="156" t="s">
        <v>52</v>
      </c>
      <c r="Y40" s="156" t="s">
        <v>52</v>
      </c>
      <c r="Z40" s="276">
        <f>SUM(Z11:Z14,Z17,Z20:Z27,Z30:Z35)</f>
        <v>566310</v>
      </c>
      <c r="AB40" s="261"/>
      <c r="AC40" s="261"/>
      <c r="AD40" s="261"/>
      <c r="AE40" s="262"/>
      <c r="AF40" s="323">
        <f>AF37-AF38</f>
        <v>158011</v>
      </c>
      <c r="AG40" s="324" t="s">
        <v>52</v>
      </c>
      <c r="AH40" s="324" t="s">
        <v>52</v>
      </c>
      <c r="AI40" s="276">
        <f>SUM(AI11:AI14,AI17,AI20:AI27,AI30:AI35)</f>
        <v>158011</v>
      </c>
    </row>
    <row r="41" spans="2:86" x14ac:dyDescent="0.2">
      <c r="C41" s="144" t="s">
        <v>75</v>
      </c>
      <c r="D41" s="145">
        <f>SUM(D38:D40)</f>
        <v>566310</v>
      </c>
      <c r="E41" s="145">
        <f t="shared" ref="E41:G41" si="105">SUM(E38:E40)</f>
        <v>233000</v>
      </c>
      <c r="F41" s="700">
        <f>SUM(F38:F40)</f>
        <v>177021</v>
      </c>
      <c r="G41" s="700">
        <f t="shared" si="105"/>
        <v>55990</v>
      </c>
      <c r="H41" s="145">
        <f>SUM(H38:H40)</f>
        <v>799310</v>
      </c>
      <c r="W41" s="145">
        <f>SUM(W11:W14,W17,W20:W27,W30:W35)</f>
        <v>566310</v>
      </c>
      <c r="Z41" s="145">
        <f>SUM(Z38:Z40)</f>
        <v>566310</v>
      </c>
      <c r="AB41" s="145"/>
      <c r="AC41" s="145"/>
      <c r="AD41" s="145"/>
      <c r="AE41" s="145"/>
      <c r="AF41" s="145">
        <f>SUM(AF11:AF14,AF17:AF17,AF20:AF27,AF30:AF35)+AF38+AI39</f>
        <v>233000</v>
      </c>
      <c r="AI41" s="145">
        <f>SUM(AI38:AI40)</f>
        <v>233000</v>
      </c>
    </row>
    <row r="42" spans="2:86" x14ac:dyDescent="0.2">
      <c r="D42" t="str">
        <f>IF(D37=D41,"","CHYBA SOUČTŮ")</f>
        <v/>
      </c>
      <c r="E42" t="str">
        <f>IF(SUM(E38:E40)=E41,"","CHYBA SOUČTŮ")</f>
        <v/>
      </c>
      <c r="H42" t="str">
        <f>IF(SUM(H38:H40)=H41,"","CHYBA SOUČTŮ")</f>
        <v/>
      </c>
      <c r="W42" t="str">
        <f>IF(W37=W41,"","CHYBA SOUČTŮ")</f>
        <v/>
      </c>
      <c r="Z42" t="str">
        <f>IF(Z37=Z41,"","CHYBA SOUČTŮ")</f>
        <v/>
      </c>
      <c r="AF42" t="str">
        <f>IF(AF37=AF41,"","CHYBA SOUČTŮ")</f>
        <v/>
      </c>
      <c r="AI42" t="str">
        <f>IF(AI37=AI41,"","CHYBA SOUČTŮ")</f>
        <v/>
      </c>
      <c r="AK42" s="150"/>
    </row>
    <row r="47" spans="2:86" x14ac:dyDescent="0.2">
      <c r="AF47" s="150"/>
    </row>
  </sheetData>
  <mergeCells count="19">
    <mergeCell ref="BX7:BZ7"/>
    <mergeCell ref="CC7:CG7"/>
    <mergeCell ref="D7:H7"/>
    <mergeCell ref="J7:M7"/>
    <mergeCell ref="N7:O7"/>
    <mergeCell ref="AK7:AN7"/>
    <mergeCell ref="AO7:AQ7"/>
    <mergeCell ref="Q7:R7"/>
    <mergeCell ref="S7:T7"/>
    <mergeCell ref="S5:U5"/>
    <mergeCell ref="BR7:BV7"/>
    <mergeCell ref="S3:U3"/>
    <mergeCell ref="AB7:AI7"/>
    <mergeCell ref="AS7:AV7"/>
    <mergeCell ref="S4:U4"/>
    <mergeCell ref="W4:Y4"/>
    <mergeCell ref="W3:Y3"/>
    <mergeCell ref="BE7:BN7"/>
    <mergeCell ref="AX7:BB7"/>
  </mergeCells>
  <phoneticPr fontId="2" type="noConversion"/>
  <conditionalFormatting sqref="R11">
    <cfRule type="cellIs" dxfId="13" priority="23" operator="notEqual">
      <formula>#REF!</formula>
    </cfRule>
  </conditionalFormatting>
  <conditionalFormatting sqref="K11:L11">
    <cfRule type="cellIs" dxfId="12" priority="20" operator="notEqual">
      <formula>#REF!</formula>
    </cfRule>
  </conditionalFormatting>
  <conditionalFormatting sqref="D42">
    <cfRule type="notContainsBlanks" dxfId="11" priority="24">
      <formula>LEN(TRIM(D42))&gt;0</formula>
    </cfRule>
  </conditionalFormatting>
  <conditionalFormatting sqref="E42:G42">
    <cfRule type="notContainsBlanks" dxfId="10" priority="14">
      <formula>LEN(TRIM(E42))&gt;0</formula>
    </cfRule>
  </conditionalFormatting>
  <conditionalFormatting sqref="W42">
    <cfRule type="notContainsBlanks" dxfId="9" priority="12">
      <formula>LEN(TRIM(W42))&gt;0</formula>
    </cfRule>
  </conditionalFormatting>
  <conditionalFormatting sqref="Z42">
    <cfRule type="notContainsBlanks" dxfId="8" priority="11">
      <formula>LEN(TRIM(Z42))&gt;0</formula>
    </cfRule>
  </conditionalFormatting>
  <conditionalFormatting sqref="AF42">
    <cfRule type="notContainsBlanks" dxfId="7" priority="10">
      <formula>LEN(TRIM(AF42))&gt;0</formula>
    </cfRule>
  </conditionalFormatting>
  <conditionalFormatting sqref="AI42">
    <cfRule type="notContainsBlanks" dxfId="6" priority="9">
      <formula>LEN(TRIM(AI42))&gt;0</formula>
    </cfRule>
  </conditionalFormatting>
  <conditionalFormatting sqref="H42">
    <cfRule type="notContainsBlanks" dxfId="5" priority="8">
      <formula>LEN(TRIM(H42))&gt;0</formula>
    </cfRule>
  </conditionalFormatting>
  <conditionalFormatting sqref="N11:O14 N17:O17 N20:O27 N30:O35 S11:T14 S17:T17 S20:T27 S30:T35">
    <cfRule type="cellIs" dxfId="4" priority="7" operator="greaterThan">
      <formula>0</formula>
    </cfRule>
  </conditionalFormatting>
  <conditionalFormatting sqref="P11:P14 P17 P20:P27 P30:P35 U11:U14 U17 U20:U27 U30:U35">
    <cfRule type="cellIs" dxfId="3" priority="6" operator="greaterThan">
      <formula>0</formula>
    </cfRule>
  </conditionalFormatting>
  <conditionalFormatting sqref="X11:X14 X17 X20:X27 X30:X35 AG11:AG14 AG17 AG20:AG27">
    <cfRule type="cellIs" dxfId="2" priority="5" operator="lessThan">
      <formula>0</formula>
    </cfRule>
  </conditionalFormatting>
  <conditionalFormatting sqref="J11:J14">
    <cfRule type="timePeriod" dxfId="1" priority="2" timePeriod="lastMonth">
      <formula>AND(MONTH(J11)=MONTH(EDATE(TODAY(),0-1)),YEAR(J11)=YEAR(EDATE(TODAY(),0-1)))</formula>
    </cfRule>
  </conditionalFormatting>
  <conditionalFormatting sqref="AG30:AG35">
    <cfRule type="cellIs" dxfId="0" priority="1" operator="lessThan">
      <formula>0</formula>
    </cfRule>
  </conditionalFormatting>
  <pageMargins left="0.23622047244094491" right="0.23622047244094491" top="0.39370078740157483" bottom="0.51181102362204722" header="0.51181102362204722" footer="0.51181102362204722"/>
  <pageSetup paperSize="9" scale="77" orientation="landscape" horizontalDpi="300" verticalDpi="300" r:id="rId1"/>
  <headerFooter alignWithMargins="0"/>
  <colBreaks count="3" manualBreakCount="3">
    <brk id="26" max="40" man="1"/>
    <brk id="36" max="45" man="1"/>
    <brk id="67" max="45" man="1"/>
  </colBreaks>
  <ignoredErrors>
    <ignoredError sqref="F4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Rozdělení dotací 2017</vt:lpstr>
      <vt:lpstr>'Rozdělení dotací 2017'!Oblast_tisku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Peřina - Jerry</dc:creator>
  <cp:lastModifiedBy>Ondrej Perina</cp:lastModifiedBy>
  <cp:lastPrinted>2017-11-08T20:14:31Z</cp:lastPrinted>
  <dcterms:created xsi:type="dcterms:W3CDTF">2007-05-30T13:55:11Z</dcterms:created>
  <dcterms:modified xsi:type="dcterms:W3CDTF">2017-11-08T20:14:57Z</dcterms:modified>
</cp:coreProperties>
</file>