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2620" windowHeight="11640"/>
  </bookViews>
  <sheets>
    <sheet name="Rozdělení dotací 2014" sheetId="1" r:id="rId1"/>
    <sheet name="Mimořádná nadstavba 2014" sheetId="2" r:id="rId2"/>
  </sheets>
  <definedNames>
    <definedName name="_xlnm.Print_Area" localSheetId="1">'Mimořádná nadstavba 2014'!$A$1:$BU$42</definedName>
    <definedName name="_xlnm.Print_Area" localSheetId="0">'Rozdělení dotací 2014'!$A$1:$BV$42</definedName>
  </definedNames>
  <calcPr calcId="144525"/>
</workbook>
</file>

<file path=xl/calcChain.xml><?xml version="1.0" encoding="utf-8"?>
<calcChain xmlns="http://schemas.openxmlformats.org/spreadsheetml/2006/main">
  <c r="G41" i="1" l="1"/>
  <c r="F11" i="2"/>
  <c r="F11" i="1"/>
  <c r="G39" i="1" l="1"/>
  <c r="G40" i="1"/>
  <c r="E42" i="1"/>
  <c r="E41" i="1"/>
  <c r="G38" i="1"/>
  <c r="F15" i="1"/>
  <c r="F16" i="1"/>
  <c r="F19" i="1"/>
  <c r="F30" i="1"/>
  <c r="BQ38" i="2"/>
  <c r="BP38" i="2"/>
  <c r="BI38" i="2"/>
  <c r="BH38" i="2"/>
  <c r="BG38" i="2"/>
  <c r="BF38" i="2"/>
  <c r="AZ38" i="2"/>
  <c r="AX38" i="2"/>
  <c r="AQ38" i="2"/>
  <c r="AP38" i="2"/>
  <c r="AL38" i="2"/>
  <c r="AK38" i="2"/>
  <c r="AI38" i="2"/>
  <c r="AH38" i="2"/>
  <c r="AG38" i="2"/>
  <c r="AF38" i="2"/>
  <c r="AD38" i="2"/>
  <c r="AA38" i="2"/>
  <c r="X41" i="2"/>
  <c r="F38" i="2"/>
  <c r="BS36" i="2"/>
  <c r="BR36" i="2"/>
  <c r="BN36" i="2"/>
  <c r="BM36" i="2"/>
  <c r="BE36" i="2"/>
  <c r="AW36" i="2" s="1"/>
  <c r="AY36" i="2"/>
  <c r="AS36" i="2"/>
  <c r="AR36" i="2"/>
  <c r="AN36" i="2"/>
  <c r="AM36" i="2"/>
  <c r="AC36" i="2"/>
  <c r="M36" i="2"/>
  <c r="BR35" i="2"/>
  <c r="BS35" i="2" s="1"/>
  <c r="BM35" i="2"/>
  <c r="BN35" i="2" s="1"/>
  <c r="BE35" i="2"/>
  <c r="AY35" i="2"/>
  <c r="AW35" i="2"/>
  <c r="BA35" i="2" s="1"/>
  <c r="AR35" i="2"/>
  <c r="AS35" i="2" s="1"/>
  <c r="AM35" i="2"/>
  <c r="AN35" i="2" s="1"/>
  <c r="AC35" i="2"/>
  <c r="M35" i="2"/>
  <c r="BS34" i="2"/>
  <c r="BR34" i="2"/>
  <c r="BN34" i="2"/>
  <c r="BM34" i="2"/>
  <c r="BE34" i="2"/>
  <c r="AW34" i="2" s="1"/>
  <c r="AY34" i="2"/>
  <c r="AS34" i="2"/>
  <c r="AR34" i="2"/>
  <c r="AN34" i="2"/>
  <c r="AM34" i="2"/>
  <c r="AC34" i="2"/>
  <c r="M34" i="2"/>
  <c r="BR33" i="2"/>
  <c r="BS33" i="2" s="1"/>
  <c r="BM33" i="2"/>
  <c r="BN33" i="2" s="1"/>
  <c r="BE33" i="2"/>
  <c r="AY33" i="2"/>
  <c r="AW33" i="2"/>
  <c r="BA33" i="2" s="1"/>
  <c r="AR33" i="2"/>
  <c r="AS33" i="2" s="1"/>
  <c r="AM33" i="2"/>
  <c r="AN33" i="2" s="1"/>
  <c r="AC33" i="2"/>
  <c r="M33" i="2"/>
  <c r="BS32" i="2"/>
  <c r="BR32" i="2"/>
  <c r="BN32" i="2"/>
  <c r="BM32" i="2"/>
  <c r="BE32" i="2"/>
  <c r="AW32" i="2" s="1"/>
  <c r="AY32" i="2"/>
  <c r="AS32" i="2"/>
  <c r="AR32" i="2"/>
  <c r="AN32" i="2"/>
  <c r="AM32" i="2"/>
  <c r="AC32" i="2"/>
  <c r="M32" i="2"/>
  <c r="BR31" i="2"/>
  <c r="BS31" i="2" s="1"/>
  <c r="BM31" i="2"/>
  <c r="BN31" i="2" s="1"/>
  <c r="BE31" i="2"/>
  <c r="AY31" i="2"/>
  <c r="AW31" i="2"/>
  <c r="BA31" i="2" s="1"/>
  <c r="AR31" i="2"/>
  <c r="AS31" i="2" s="1"/>
  <c r="AM31" i="2"/>
  <c r="AN31" i="2" s="1"/>
  <c r="AC31" i="2"/>
  <c r="M31" i="2"/>
  <c r="BK30" i="2"/>
  <c r="AR30" i="2"/>
  <c r="AS30" i="2" s="1"/>
  <c r="AQ30" i="2"/>
  <c r="AP30" i="2"/>
  <c r="AM30" i="2"/>
  <c r="AN30" i="2" s="1"/>
  <c r="AL30" i="2"/>
  <c r="AK30" i="2"/>
  <c r="AI30" i="2"/>
  <c r="AH30" i="2"/>
  <c r="AG30" i="2"/>
  <c r="AF30" i="2"/>
  <c r="AD30" i="2"/>
  <c r="AC30" i="2"/>
  <c r="BR28" i="2"/>
  <c r="BN28" i="2"/>
  <c r="BM28" i="2"/>
  <c r="BE28" i="2"/>
  <c r="AW28" i="2" s="1"/>
  <c r="BA28" i="2" s="1"/>
  <c r="AY28" i="2"/>
  <c r="AR28" i="2"/>
  <c r="AM28" i="2"/>
  <c r="AN28" i="2" s="1"/>
  <c r="AC28" i="2"/>
  <c r="M28" i="2"/>
  <c r="J28" i="2"/>
  <c r="BR27" i="2"/>
  <c r="BS27" i="2" s="1"/>
  <c r="BM27" i="2"/>
  <c r="BN27" i="2" s="1"/>
  <c r="BE27" i="2"/>
  <c r="AY27" i="2"/>
  <c r="AW27" i="2"/>
  <c r="BA27" i="2" s="1"/>
  <c r="AR27" i="2"/>
  <c r="AS27" i="2" s="1"/>
  <c r="AM27" i="2"/>
  <c r="AN27" i="2" s="1"/>
  <c r="AC27" i="2"/>
  <c r="M27" i="2"/>
  <c r="J27" i="2"/>
  <c r="BS26" i="2"/>
  <c r="BR26" i="2"/>
  <c r="BN26" i="2"/>
  <c r="BM26" i="2"/>
  <c r="BE26" i="2"/>
  <c r="AW26" i="2" s="1"/>
  <c r="BA26" i="2" s="1"/>
  <c r="AY26" i="2"/>
  <c r="AS26" i="2"/>
  <c r="AR26" i="2"/>
  <c r="AN26" i="2"/>
  <c r="AM26" i="2"/>
  <c r="AC26" i="2"/>
  <c r="M26" i="2"/>
  <c r="J26" i="2"/>
  <c r="BS25" i="2"/>
  <c r="BR25" i="2"/>
  <c r="BN25" i="2"/>
  <c r="BM25" i="2"/>
  <c r="BE25" i="2"/>
  <c r="AW25" i="2" s="1"/>
  <c r="BA25" i="2" s="1"/>
  <c r="AY25" i="2"/>
  <c r="AS25" i="2"/>
  <c r="AR25" i="2"/>
  <c r="AN25" i="2"/>
  <c r="AM25" i="2"/>
  <c r="AC25" i="2"/>
  <c r="M25" i="2"/>
  <c r="J25" i="2"/>
  <c r="BS24" i="2"/>
  <c r="BR24" i="2"/>
  <c r="BN24" i="2"/>
  <c r="BM24" i="2"/>
  <c r="BE24" i="2"/>
  <c r="AW24" i="2" s="1"/>
  <c r="BA24" i="2" s="1"/>
  <c r="AY24" i="2"/>
  <c r="AS24" i="2"/>
  <c r="AR24" i="2"/>
  <c r="AN24" i="2"/>
  <c r="AM24" i="2"/>
  <c r="AC24" i="2"/>
  <c r="M24" i="2"/>
  <c r="J24" i="2"/>
  <c r="BS23" i="2"/>
  <c r="BR23" i="2"/>
  <c r="BM23" i="2"/>
  <c r="BN23" i="2" s="1"/>
  <c r="BE23" i="2"/>
  <c r="AY23" i="2"/>
  <c r="AW23" i="2"/>
  <c r="BA23" i="2" s="1"/>
  <c r="AR23" i="2"/>
  <c r="AS23" i="2" s="1"/>
  <c r="AM23" i="2"/>
  <c r="AN23" i="2" s="1"/>
  <c r="AC23" i="2"/>
  <c r="M23" i="2"/>
  <c r="J23" i="2"/>
  <c r="BR22" i="2"/>
  <c r="BS22" i="2" s="1"/>
  <c r="BM22" i="2"/>
  <c r="BN22" i="2" s="1"/>
  <c r="BE22" i="2"/>
  <c r="AY22" i="2"/>
  <c r="AW22" i="2"/>
  <c r="BA22" i="2" s="1"/>
  <c r="AR22" i="2"/>
  <c r="AS22" i="2" s="1"/>
  <c r="AM22" i="2"/>
  <c r="AN22" i="2" s="1"/>
  <c r="AC22" i="2"/>
  <c r="M22" i="2"/>
  <c r="J22" i="2"/>
  <c r="BR21" i="2"/>
  <c r="BS21" i="2" s="1"/>
  <c r="BM21" i="2"/>
  <c r="BN21" i="2" s="1"/>
  <c r="BE21" i="2"/>
  <c r="AY21" i="2"/>
  <c r="AW21" i="2"/>
  <c r="BA21" i="2" s="1"/>
  <c r="AR21" i="2"/>
  <c r="AS21" i="2" s="1"/>
  <c r="AM21" i="2"/>
  <c r="AN21" i="2" s="1"/>
  <c r="AC21" i="2"/>
  <c r="M21" i="2"/>
  <c r="J21" i="2"/>
  <c r="BR20" i="2"/>
  <c r="BS20" i="2" s="1"/>
  <c r="BT20" i="2" s="1"/>
  <c r="BU20" i="2" s="1"/>
  <c r="BM20" i="2"/>
  <c r="BN20" i="2" s="1"/>
  <c r="BE20" i="2"/>
  <c r="AY20" i="2"/>
  <c r="AW20" i="2"/>
  <c r="BA20" i="2" s="1"/>
  <c r="AR20" i="2"/>
  <c r="AS20" i="2" s="1"/>
  <c r="AM20" i="2"/>
  <c r="AN20" i="2" s="1"/>
  <c r="AC20" i="2"/>
  <c r="M20" i="2"/>
  <c r="J20" i="2"/>
  <c r="BK19" i="2"/>
  <c r="AR19" i="2"/>
  <c r="AS19" i="2" s="1"/>
  <c r="AQ19" i="2"/>
  <c r="AP19" i="2"/>
  <c r="BR19" i="2" s="1"/>
  <c r="AM19" i="2"/>
  <c r="AN19" i="2" s="1"/>
  <c r="AL19" i="2"/>
  <c r="AK19" i="2"/>
  <c r="AI19" i="2"/>
  <c r="AH19" i="2"/>
  <c r="AG19" i="2"/>
  <c r="AF19" i="2"/>
  <c r="AD19" i="2"/>
  <c r="AC19" i="2"/>
  <c r="BR17" i="2"/>
  <c r="BS17" i="2" s="1"/>
  <c r="BM17" i="2"/>
  <c r="BN17" i="2" s="1"/>
  <c r="BE17" i="2"/>
  <c r="AY17" i="2"/>
  <c r="AW17" i="2"/>
  <c r="BA17" i="2" s="1"/>
  <c r="AR17" i="2"/>
  <c r="AS17" i="2" s="1"/>
  <c r="AM17" i="2"/>
  <c r="AN17" i="2" s="1"/>
  <c r="AC17" i="2"/>
  <c r="M17" i="2"/>
  <c r="J17" i="2"/>
  <c r="BK16" i="2"/>
  <c r="AQ16" i="2"/>
  <c r="AP16" i="2"/>
  <c r="AL16" i="2"/>
  <c r="AK16" i="2"/>
  <c r="AI16" i="2"/>
  <c r="AH16" i="2"/>
  <c r="AG16" i="2"/>
  <c r="AF16" i="2"/>
  <c r="AD16" i="2"/>
  <c r="AC16" i="2"/>
  <c r="BS14" i="2"/>
  <c r="BT14" i="2" s="1"/>
  <c r="BU14" i="2" s="1"/>
  <c r="BR14" i="2"/>
  <c r="BN14" i="2"/>
  <c r="BM14" i="2"/>
  <c r="BE14" i="2"/>
  <c r="AW14" i="2" s="1"/>
  <c r="BA14" i="2" s="1"/>
  <c r="AY14" i="2"/>
  <c r="AS14" i="2"/>
  <c r="AR14" i="2"/>
  <c r="AN14" i="2"/>
  <c r="AM14" i="2"/>
  <c r="AC14" i="2"/>
  <c r="M14" i="2"/>
  <c r="J14" i="2"/>
  <c r="BS13" i="2"/>
  <c r="BR13" i="2"/>
  <c r="BN13" i="2"/>
  <c r="BM13" i="2"/>
  <c r="BE13" i="2"/>
  <c r="AW13" i="2" s="1"/>
  <c r="BA13" i="2" s="1"/>
  <c r="AY13" i="2"/>
  <c r="AS13" i="2"/>
  <c r="AR13" i="2"/>
  <c r="AN13" i="2"/>
  <c r="AM13" i="2"/>
  <c r="AC13" i="2"/>
  <c r="M13" i="2"/>
  <c r="J13" i="2"/>
  <c r="BS12" i="2"/>
  <c r="BT12" i="2" s="1"/>
  <c r="BU12" i="2" s="1"/>
  <c r="BR12" i="2"/>
  <c r="BN12" i="2"/>
  <c r="BM12" i="2"/>
  <c r="BE12" i="2"/>
  <c r="AW12" i="2" s="1"/>
  <c r="BA12" i="2" s="1"/>
  <c r="AY12" i="2"/>
  <c r="AS12" i="2"/>
  <c r="AR12" i="2"/>
  <c r="AN12" i="2"/>
  <c r="AM12" i="2"/>
  <c r="AC12" i="2"/>
  <c r="M12" i="2"/>
  <c r="J12" i="2"/>
  <c r="BS11" i="2"/>
  <c r="BT27" i="2" s="1"/>
  <c r="BU27" i="2" s="1"/>
  <c r="BR11" i="2"/>
  <c r="BR38" i="2" s="1"/>
  <c r="BM11" i="2"/>
  <c r="BN11" i="2" s="1"/>
  <c r="BE11" i="2"/>
  <c r="BE38" i="2" s="1"/>
  <c r="AY11" i="2"/>
  <c r="AY38" i="2" s="1"/>
  <c r="AW11" i="2"/>
  <c r="AR11" i="2"/>
  <c r="AR38" i="2" s="1"/>
  <c r="AS38" i="2" s="1"/>
  <c r="AM11" i="2"/>
  <c r="AM38" i="2" s="1"/>
  <c r="AN38" i="2" s="1"/>
  <c r="AC11" i="2"/>
  <c r="AC38" i="2" s="1"/>
  <c r="M11" i="2"/>
  <c r="J11" i="2"/>
  <c r="BK10" i="2"/>
  <c r="BK38" i="2" s="1"/>
  <c r="AR10" i="2"/>
  <c r="AS10" i="2" s="1"/>
  <c r="AQ10" i="2"/>
  <c r="AP10" i="2"/>
  <c r="BR10" i="2" s="1"/>
  <c r="AM10" i="2"/>
  <c r="AN10" i="2" s="1"/>
  <c r="AL10" i="2"/>
  <c r="AK10" i="2"/>
  <c r="AI10" i="2"/>
  <c r="AH10" i="2"/>
  <c r="AG10" i="2"/>
  <c r="AF10" i="2"/>
  <c r="AD10" i="2"/>
  <c r="AC10" i="2"/>
  <c r="D41" i="1"/>
  <c r="G11" i="1"/>
  <c r="BT21" i="2" l="1"/>
  <c r="BU21" i="2" s="1"/>
  <c r="BT22" i="2"/>
  <c r="BU22" i="2" s="1"/>
  <c r="BT24" i="2"/>
  <c r="BU24" i="2" s="1"/>
  <c r="BT26" i="2"/>
  <c r="BU26" i="2" s="1"/>
  <c r="BT13" i="2"/>
  <c r="BU13" i="2" s="1"/>
  <c r="BT17" i="2"/>
  <c r="BU17" i="2" s="1"/>
  <c r="BT23" i="2"/>
  <c r="BU23" i="2" s="1"/>
  <c r="BT25" i="2"/>
  <c r="BU25" i="2" s="1"/>
  <c r="AW38" i="2"/>
  <c r="BA38" i="2" s="1"/>
  <c r="BA11" i="2"/>
  <c r="BB12" i="2" s="1"/>
  <c r="BC12" i="2" s="1"/>
  <c r="BT11" i="2"/>
  <c r="BU11" i="2" s="1"/>
  <c r="AM16" i="2"/>
  <c r="AN16" i="2" s="1"/>
  <c r="AR16" i="2"/>
  <c r="AS16" i="2" s="1"/>
  <c r="BT31" i="2"/>
  <c r="BU31" i="2" s="1"/>
  <c r="AN11" i="2"/>
  <c r="AS11" i="2"/>
  <c r="BT35" i="2"/>
  <c r="BU35" i="2" s="1"/>
  <c r="BT28" i="2"/>
  <c r="BU28" i="2" s="1"/>
  <c r="AT31" i="2"/>
  <c r="AU31" i="2" s="1"/>
  <c r="BT33" i="2"/>
  <c r="BU33" i="2" s="1"/>
  <c r="BA34" i="2"/>
  <c r="BT34" i="2"/>
  <c r="BU34" i="2" s="1"/>
  <c r="O41" i="2"/>
  <c r="O5" i="2" s="1"/>
  <c r="R38" i="2"/>
  <c r="BS38" i="2"/>
  <c r="AT32" i="2"/>
  <c r="AU32" i="2" s="1"/>
  <c r="BA32" i="2"/>
  <c r="BB35" i="2" s="1"/>
  <c r="BC35" i="2" s="1"/>
  <c r="BT32" i="2"/>
  <c r="BU32" i="2" s="1"/>
  <c r="AT36" i="2"/>
  <c r="AU36" i="2" s="1"/>
  <c r="BA36" i="2"/>
  <c r="BB36" i="2" s="1"/>
  <c r="BC36" i="2" s="1"/>
  <c r="BT36" i="2"/>
  <c r="BU36" i="2" s="1"/>
  <c r="AR30" i="1"/>
  <c r="AQ30" i="1"/>
  <c r="AR19" i="1"/>
  <c r="AQ19" i="1"/>
  <c r="AR10" i="1"/>
  <c r="AQ10" i="1"/>
  <c r="AM30" i="1"/>
  <c r="AL30" i="1"/>
  <c r="AM19" i="1"/>
  <c r="AL19" i="1"/>
  <c r="AM16" i="1"/>
  <c r="AL16" i="1"/>
  <c r="AM10" i="1"/>
  <c r="AL10" i="1"/>
  <c r="AJ19" i="1"/>
  <c r="AI19" i="1"/>
  <c r="AH19" i="1"/>
  <c r="AJ10" i="1"/>
  <c r="AI10" i="1"/>
  <c r="AH10" i="1"/>
  <c r="AG19" i="1"/>
  <c r="AE19" i="1"/>
  <c r="AG10" i="1"/>
  <c r="AE10" i="1"/>
  <c r="Y39" i="1"/>
  <c r="N36" i="1"/>
  <c r="N33" i="1"/>
  <c r="N34" i="1"/>
  <c r="N35" i="1"/>
  <c r="N32" i="1"/>
  <c r="N31" i="1"/>
  <c r="K28" i="1"/>
  <c r="K27" i="1"/>
  <c r="K26" i="1"/>
  <c r="K25" i="1"/>
  <c r="K24" i="1"/>
  <c r="K23" i="1"/>
  <c r="K22" i="1"/>
  <c r="K21" i="1"/>
  <c r="K20" i="1"/>
  <c r="K17" i="1"/>
  <c r="K14" i="1"/>
  <c r="K13" i="1"/>
  <c r="K12" i="1"/>
  <c r="K11" i="1"/>
  <c r="N17" i="1"/>
  <c r="BS11" i="1"/>
  <c r="AZ17" i="1"/>
  <c r="O35" i="2" l="1"/>
  <c r="O33" i="2"/>
  <c r="O36" i="2"/>
  <c r="O32" i="2"/>
  <c r="O34" i="2"/>
  <c r="O31" i="2"/>
  <c r="O28" i="2"/>
  <c r="O14" i="2"/>
  <c r="O13" i="2"/>
  <c r="O12" i="2"/>
  <c r="O11" i="2"/>
  <c r="O27" i="2"/>
  <c r="O26" i="2"/>
  <c r="O25" i="2"/>
  <c r="O24" i="2"/>
  <c r="O23" i="2"/>
  <c r="O22" i="2"/>
  <c r="O21" i="2"/>
  <c r="O20" i="2"/>
  <c r="O17" i="2"/>
  <c r="BB34" i="2"/>
  <c r="BC34" i="2" s="1"/>
  <c r="AT35" i="2"/>
  <c r="AU35" i="2" s="1"/>
  <c r="T35" i="2" s="1"/>
  <c r="AT28" i="2"/>
  <c r="AU28" i="2" s="1"/>
  <c r="AT27" i="2"/>
  <c r="AU27" i="2" s="1"/>
  <c r="AT11" i="2"/>
  <c r="AU11" i="2" s="1"/>
  <c r="BB25" i="2"/>
  <c r="BC25" i="2" s="1"/>
  <c r="AT22" i="2"/>
  <c r="AU22" i="2" s="1"/>
  <c r="AT20" i="2"/>
  <c r="AU20" i="2" s="1"/>
  <c r="BB17" i="2"/>
  <c r="BC17" i="2" s="1"/>
  <c r="BB13" i="2"/>
  <c r="BC13" i="2" s="1"/>
  <c r="BB14" i="2"/>
  <c r="BC14" i="2" s="1"/>
  <c r="BB27" i="2"/>
  <c r="BC27" i="2" s="1"/>
  <c r="BB26" i="2"/>
  <c r="BC26" i="2" s="1"/>
  <c r="AT24" i="2"/>
  <c r="AU24" i="2" s="1"/>
  <c r="BB20" i="2"/>
  <c r="BC20" i="2" s="1"/>
  <c r="T36" i="2"/>
  <c r="BB32" i="2"/>
  <c r="BC32" i="2" s="1"/>
  <c r="T32" i="2" s="1"/>
  <c r="AT34" i="2"/>
  <c r="AU34" i="2" s="1"/>
  <c r="T34" i="2" s="1"/>
  <c r="BB33" i="2"/>
  <c r="BC33" i="2" s="1"/>
  <c r="BB28" i="2"/>
  <c r="BC28" i="2" s="1"/>
  <c r="AT33" i="2"/>
  <c r="AU33" i="2" s="1"/>
  <c r="T33" i="2" s="1"/>
  <c r="BB31" i="2"/>
  <c r="BC31" i="2" s="1"/>
  <c r="T31" i="2" s="1"/>
  <c r="BB11" i="2"/>
  <c r="BC11" i="2" s="1"/>
  <c r="AT25" i="2"/>
  <c r="AU25" i="2" s="1"/>
  <c r="T25" i="2" s="1"/>
  <c r="AT23" i="2"/>
  <c r="AU23" i="2" s="1"/>
  <c r="AT21" i="2"/>
  <c r="AU21" i="2" s="1"/>
  <c r="AT13" i="2"/>
  <c r="AU13" i="2" s="1"/>
  <c r="T13" i="2" s="1"/>
  <c r="AT14" i="2"/>
  <c r="AU14" i="2" s="1"/>
  <c r="T14" i="2" s="1"/>
  <c r="AT26" i="2"/>
  <c r="AU26" i="2" s="1"/>
  <c r="T26" i="2" s="1"/>
  <c r="BB24" i="2"/>
  <c r="BC24" i="2" s="1"/>
  <c r="BB23" i="2"/>
  <c r="BC23" i="2" s="1"/>
  <c r="BB22" i="2"/>
  <c r="BC22" i="2" s="1"/>
  <c r="BB21" i="2"/>
  <c r="BC21" i="2" s="1"/>
  <c r="AT17" i="2"/>
  <c r="AU17" i="2" s="1"/>
  <c r="T17" i="2" s="1"/>
  <c r="AT12" i="2"/>
  <c r="AU12" i="2" s="1"/>
  <c r="T12" i="2" s="1"/>
  <c r="BJ38" i="1"/>
  <c r="BI38" i="1"/>
  <c r="BF36" i="1"/>
  <c r="BF35" i="1"/>
  <c r="BF34" i="1"/>
  <c r="BF33" i="1"/>
  <c r="BF32" i="1"/>
  <c r="BF31" i="1"/>
  <c r="BF28" i="1"/>
  <c r="BF27" i="1"/>
  <c r="BF26" i="1"/>
  <c r="BF25" i="1"/>
  <c r="BF24" i="1"/>
  <c r="BF23" i="1"/>
  <c r="BF22" i="1"/>
  <c r="BF21" i="1"/>
  <c r="BF20" i="1"/>
  <c r="BF17" i="1"/>
  <c r="BF14" i="1"/>
  <c r="BF13" i="1"/>
  <c r="BF12" i="1"/>
  <c r="BF11" i="1"/>
  <c r="AX11" i="1" s="1"/>
  <c r="AD12" i="1"/>
  <c r="AD11" i="1"/>
  <c r="AD17" i="1"/>
  <c r="BL10" i="1"/>
  <c r="BL19" i="1"/>
  <c r="BN11" i="1"/>
  <c r="V31" i="2" l="1"/>
  <c r="V32" i="2"/>
  <c r="V17" i="2"/>
  <c r="V14" i="2"/>
  <c r="T21" i="2"/>
  <c r="V25" i="2"/>
  <c r="V34" i="2"/>
  <c r="V36" i="2"/>
  <c r="T24" i="2"/>
  <c r="T20" i="2"/>
  <c r="T27" i="2"/>
  <c r="V35" i="2"/>
  <c r="P20" i="2"/>
  <c r="Q20" i="2" s="1"/>
  <c r="R20" i="2" s="1"/>
  <c r="D20" i="2" s="1"/>
  <c r="P22" i="2"/>
  <c r="Q22" i="2" s="1"/>
  <c r="R22" i="2" s="1"/>
  <c r="D22" i="2" s="1"/>
  <c r="P24" i="2"/>
  <c r="Q24" i="2" s="1"/>
  <c r="R24" i="2" s="1"/>
  <c r="D24" i="2" s="1"/>
  <c r="P26" i="2"/>
  <c r="Q26" i="2" s="1"/>
  <c r="R26" i="2" s="1"/>
  <c r="D26" i="2" s="1"/>
  <c r="O42" i="2"/>
  <c r="P11" i="2"/>
  <c r="Q11" i="2" s="1"/>
  <c r="R11" i="2" s="1"/>
  <c r="P13" i="2"/>
  <c r="Q13" i="2" s="1"/>
  <c r="R13" i="2" s="1"/>
  <c r="D13" i="2" s="1"/>
  <c r="P28" i="2"/>
  <c r="Q28" i="2" s="1"/>
  <c r="R28" i="2" s="1"/>
  <c r="D28" i="2" s="1"/>
  <c r="P34" i="2"/>
  <c r="Q34" i="2"/>
  <c r="R34" i="2" s="1"/>
  <c r="D34" i="2" s="1"/>
  <c r="P36" i="2"/>
  <c r="Q36" i="2"/>
  <c r="R36" i="2" s="1"/>
  <c r="D36" i="2" s="1"/>
  <c r="P35" i="2"/>
  <c r="Q35" i="2" s="1"/>
  <c r="R35" i="2" s="1"/>
  <c r="D35" i="2" s="1"/>
  <c r="V12" i="2"/>
  <c r="V26" i="2"/>
  <c r="V13" i="2"/>
  <c r="T23" i="2"/>
  <c r="V33" i="2"/>
  <c r="T22" i="2"/>
  <c r="T11" i="2"/>
  <c r="T28" i="2"/>
  <c r="P17" i="2"/>
  <c r="Q17" i="2" s="1"/>
  <c r="R17" i="2" s="1"/>
  <c r="D17" i="2" s="1"/>
  <c r="P21" i="2"/>
  <c r="Q21" i="2" s="1"/>
  <c r="R21" i="2" s="1"/>
  <c r="D21" i="2" s="1"/>
  <c r="P23" i="2"/>
  <c r="Q23" i="2" s="1"/>
  <c r="R23" i="2" s="1"/>
  <c r="D23" i="2" s="1"/>
  <c r="P25" i="2"/>
  <c r="Q25" i="2" s="1"/>
  <c r="R25" i="2" s="1"/>
  <c r="D25" i="2" s="1"/>
  <c r="P27" i="2"/>
  <c r="Q27" i="2" s="1"/>
  <c r="R27" i="2" s="1"/>
  <c r="D27" i="2" s="1"/>
  <c r="P12" i="2"/>
  <c r="Q12" i="2" s="1"/>
  <c r="R12" i="2" s="1"/>
  <c r="D12" i="2" s="1"/>
  <c r="P14" i="2"/>
  <c r="Q14" i="2" s="1"/>
  <c r="R14" i="2" s="1"/>
  <c r="D14" i="2" s="1"/>
  <c r="P31" i="2"/>
  <c r="Q31" i="2" s="1"/>
  <c r="R31" i="2" s="1"/>
  <c r="D31" i="2" s="1"/>
  <c r="P32" i="2"/>
  <c r="Q32" i="2" s="1"/>
  <c r="R32" i="2" s="1"/>
  <c r="D32" i="2" s="1"/>
  <c r="P33" i="2"/>
  <c r="Q33" i="2" s="1"/>
  <c r="R33" i="2" s="1"/>
  <c r="D33" i="2" s="1"/>
  <c r="BF38" i="1"/>
  <c r="P38" i="1"/>
  <c r="S38" i="1" s="1"/>
  <c r="AH38" i="1"/>
  <c r="AI38" i="1"/>
  <c r="AJ38" i="1"/>
  <c r="Y38" i="1"/>
  <c r="AS11" i="1"/>
  <c r="AS12" i="1"/>
  <c r="AT12" i="1" s="1"/>
  <c r="AS13" i="1"/>
  <c r="AT13" i="1" s="1"/>
  <c r="AS14" i="1"/>
  <c r="AT14" i="1" s="1"/>
  <c r="AS17" i="1"/>
  <c r="AT17" i="1" s="1"/>
  <c r="AS20" i="1"/>
  <c r="AS21" i="1"/>
  <c r="AT21" i="1" s="1"/>
  <c r="AS22" i="1"/>
  <c r="AT22" i="1" s="1"/>
  <c r="AS23" i="1"/>
  <c r="AT23" i="1" s="1"/>
  <c r="AS24" i="1"/>
  <c r="AT24" i="1" s="1"/>
  <c r="AS25" i="1"/>
  <c r="AT25" i="1" s="1"/>
  <c r="AS26" i="1"/>
  <c r="AT26" i="1" s="1"/>
  <c r="AS27" i="1"/>
  <c r="AT27" i="1" s="1"/>
  <c r="AS31" i="1"/>
  <c r="AS32" i="1"/>
  <c r="AT32" i="1" s="1"/>
  <c r="AS33" i="1"/>
  <c r="AT33" i="1" s="1"/>
  <c r="AS34" i="1"/>
  <c r="AT34" i="1" s="1"/>
  <c r="AS35" i="1"/>
  <c r="AT35" i="1" s="1"/>
  <c r="AS36" i="1"/>
  <c r="AT36" i="1" s="1"/>
  <c r="AZ11" i="1"/>
  <c r="AX12" i="1"/>
  <c r="AZ12" i="1"/>
  <c r="AX13" i="1"/>
  <c r="AZ13" i="1"/>
  <c r="AX14" i="1"/>
  <c r="AZ14" i="1"/>
  <c r="AX17" i="1"/>
  <c r="AX20" i="1"/>
  <c r="AZ20" i="1"/>
  <c r="AX21" i="1"/>
  <c r="AZ21" i="1"/>
  <c r="AX22" i="1"/>
  <c r="AZ22" i="1"/>
  <c r="AX23" i="1"/>
  <c r="AZ23" i="1"/>
  <c r="AX24" i="1"/>
  <c r="AZ24" i="1"/>
  <c r="AX25" i="1"/>
  <c r="AZ25" i="1"/>
  <c r="AX26" i="1"/>
  <c r="AZ26" i="1"/>
  <c r="AX27" i="1"/>
  <c r="AZ27" i="1"/>
  <c r="AX28" i="1"/>
  <c r="AZ28" i="1"/>
  <c r="AX31" i="1"/>
  <c r="AZ31" i="1"/>
  <c r="AX32" i="1"/>
  <c r="AZ32" i="1"/>
  <c r="AX33" i="1"/>
  <c r="AZ33" i="1"/>
  <c r="AX34" i="1"/>
  <c r="AZ34" i="1"/>
  <c r="AX35" i="1"/>
  <c r="AZ35" i="1"/>
  <c r="AX36" i="1"/>
  <c r="AZ36" i="1"/>
  <c r="BO11" i="1"/>
  <c r="BT11" i="1"/>
  <c r="BS12" i="1"/>
  <c r="BT12" i="1" s="1"/>
  <c r="BS13" i="1"/>
  <c r="BT13" i="1" s="1"/>
  <c r="BS14" i="1"/>
  <c r="BT14" i="1" s="1"/>
  <c r="BS17" i="1"/>
  <c r="BT17" i="1" s="1"/>
  <c r="BS20" i="1"/>
  <c r="BT20" i="1" s="1"/>
  <c r="BS21" i="1"/>
  <c r="BT21" i="1" s="1"/>
  <c r="BS22" i="1"/>
  <c r="BT22" i="1" s="1"/>
  <c r="BS23" i="1"/>
  <c r="BT23" i="1" s="1"/>
  <c r="BS24" i="1"/>
  <c r="BT24" i="1" s="1"/>
  <c r="BS25" i="1"/>
  <c r="BT25" i="1" s="1"/>
  <c r="BS26" i="1"/>
  <c r="BT26" i="1" s="1"/>
  <c r="BS27" i="1"/>
  <c r="BT27" i="1" s="1"/>
  <c r="BS31" i="1"/>
  <c r="BT31" i="1" s="1"/>
  <c r="BS32" i="1"/>
  <c r="BT32" i="1" s="1"/>
  <c r="BS33" i="1"/>
  <c r="BT33" i="1" s="1"/>
  <c r="BS34" i="1"/>
  <c r="BT34" i="1" s="1"/>
  <c r="BS35" i="1"/>
  <c r="BT35" i="1" s="1"/>
  <c r="BS36" i="1"/>
  <c r="BT36" i="1" s="1"/>
  <c r="BN12" i="1"/>
  <c r="BO12" i="1" s="1"/>
  <c r="BN13" i="1"/>
  <c r="BO13" i="1" s="1"/>
  <c r="AD13" i="1"/>
  <c r="BN14" i="1"/>
  <c r="BO14" i="1" s="1"/>
  <c r="AD14" i="1"/>
  <c r="BN17" i="1"/>
  <c r="BO17" i="1" s="1"/>
  <c r="BN20" i="1"/>
  <c r="BO20" i="1" s="1"/>
  <c r="AD20" i="1"/>
  <c r="BN21" i="1"/>
  <c r="BO21" i="1" s="1"/>
  <c r="AD21" i="1"/>
  <c r="BN22" i="1"/>
  <c r="BO22" i="1" s="1"/>
  <c r="AD22" i="1"/>
  <c r="BN23" i="1"/>
  <c r="BO23" i="1" s="1"/>
  <c r="AD23" i="1"/>
  <c r="BN24" i="1"/>
  <c r="BO24" i="1" s="1"/>
  <c r="AD24" i="1"/>
  <c r="BN25" i="1"/>
  <c r="BO25" i="1" s="1"/>
  <c r="AD25" i="1"/>
  <c r="BN26" i="1"/>
  <c r="BO26" i="1" s="1"/>
  <c r="AD26" i="1"/>
  <c r="BN27" i="1"/>
  <c r="BO27" i="1" s="1"/>
  <c r="AD27" i="1"/>
  <c r="BN28" i="1"/>
  <c r="BO28" i="1" s="1"/>
  <c r="AD28" i="1"/>
  <c r="BN31" i="1"/>
  <c r="BO31" i="1" s="1"/>
  <c r="AD31" i="1"/>
  <c r="BN32" i="1"/>
  <c r="BO32" i="1" s="1"/>
  <c r="AD32" i="1"/>
  <c r="BN33" i="1"/>
  <c r="BO33" i="1" s="1"/>
  <c r="AD33" i="1"/>
  <c r="BN34" i="1"/>
  <c r="BO34" i="1" s="1"/>
  <c r="AD34" i="1"/>
  <c r="BN35" i="1"/>
  <c r="BO35" i="1" s="1"/>
  <c r="AD35" i="1"/>
  <c r="BN36" i="1"/>
  <c r="BO36" i="1" s="1"/>
  <c r="AD36" i="1"/>
  <c r="Y41" i="1"/>
  <c r="N11" i="1"/>
  <c r="N12" i="1"/>
  <c r="N13" i="1"/>
  <c r="N14" i="1"/>
  <c r="N20" i="1"/>
  <c r="N21" i="1"/>
  <c r="N22" i="1"/>
  <c r="N23" i="1"/>
  <c r="N24" i="1"/>
  <c r="N25" i="1"/>
  <c r="N26" i="1"/>
  <c r="N27" i="1"/>
  <c r="N28" i="1"/>
  <c r="BS10" i="1"/>
  <c r="BS19" i="1"/>
  <c r="BS28" i="1"/>
  <c r="BL16" i="1"/>
  <c r="AQ38" i="1"/>
  <c r="AQ16" i="1"/>
  <c r="AJ16" i="1"/>
  <c r="BL30" i="1"/>
  <c r="AL38" i="1"/>
  <c r="AN32" i="1"/>
  <c r="AO32" i="1" s="1"/>
  <c r="AN33" i="1"/>
  <c r="AO33" i="1" s="1"/>
  <c r="AN34" i="1"/>
  <c r="AO34" i="1" s="1"/>
  <c r="AN35" i="1"/>
  <c r="AO35" i="1" s="1"/>
  <c r="AN36" i="1"/>
  <c r="AO36" i="1" s="1"/>
  <c r="AN21" i="1"/>
  <c r="AO21" i="1" s="1"/>
  <c r="AN22" i="1"/>
  <c r="AO22" i="1" s="1"/>
  <c r="AN23" i="1"/>
  <c r="AO23" i="1" s="1"/>
  <c r="AN24" i="1"/>
  <c r="AO24" i="1" s="1"/>
  <c r="AN25" i="1"/>
  <c r="AO25" i="1" s="1"/>
  <c r="AN26" i="1"/>
  <c r="AO26" i="1" s="1"/>
  <c r="AN27" i="1"/>
  <c r="AO27" i="1" s="1"/>
  <c r="AN20" i="1"/>
  <c r="AN13" i="1"/>
  <c r="AO13" i="1" s="1"/>
  <c r="AN14" i="1"/>
  <c r="AO14" i="1" s="1"/>
  <c r="AN12" i="1"/>
  <c r="AO12" i="1" s="1"/>
  <c r="AN28" i="1"/>
  <c r="AO28" i="1" s="1"/>
  <c r="AN17" i="1"/>
  <c r="AM38" i="1"/>
  <c r="AN11" i="1"/>
  <c r="AN31" i="1"/>
  <c r="AD16" i="1"/>
  <c r="AB38" i="1"/>
  <c r="BQ38" i="1"/>
  <c r="BR38" i="1"/>
  <c r="BH38" i="1"/>
  <c r="BG38" i="1"/>
  <c r="AG38" i="1"/>
  <c r="AE38" i="1"/>
  <c r="AG30" i="1"/>
  <c r="AE30" i="1"/>
  <c r="AR16" i="1"/>
  <c r="AG16" i="1"/>
  <c r="AE16" i="1"/>
  <c r="AS28" i="1"/>
  <c r="AR38" i="1"/>
  <c r="AI30" i="1"/>
  <c r="AY38" i="1"/>
  <c r="BA38" i="1"/>
  <c r="AH16" i="1"/>
  <c r="AJ30" i="1"/>
  <c r="AH30" i="1"/>
  <c r="AI16" i="1"/>
  <c r="AS16" i="1"/>
  <c r="AT16" i="1" s="1"/>
  <c r="R41" i="2" l="1"/>
  <c r="D11" i="2"/>
  <c r="T38" i="2"/>
  <c r="V11" i="2"/>
  <c r="U11" i="2"/>
  <c r="V23" i="2"/>
  <c r="V27" i="2"/>
  <c r="U27" i="2"/>
  <c r="V24" i="2"/>
  <c r="V28" i="2"/>
  <c r="U28" i="2"/>
  <c r="V22" i="2"/>
  <c r="P39" i="2"/>
  <c r="U20" i="2"/>
  <c r="V20" i="2"/>
  <c r="U21" i="2"/>
  <c r="V21" i="2"/>
  <c r="AZ38" i="1"/>
  <c r="AS10" i="1"/>
  <c r="AT10" i="1" s="1"/>
  <c r="AD10" i="1"/>
  <c r="AD30" i="1"/>
  <c r="AN16" i="1"/>
  <c r="AO16" i="1" s="1"/>
  <c r="BB36" i="1"/>
  <c r="BB28" i="1"/>
  <c r="BB26" i="1"/>
  <c r="BB24" i="1"/>
  <c r="AN30" i="1"/>
  <c r="AO30" i="1" s="1"/>
  <c r="AO20" i="1"/>
  <c r="AN19" i="1"/>
  <c r="AO19" i="1" s="1"/>
  <c r="AD19" i="1"/>
  <c r="AO11" i="1"/>
  <c r="AN10" i="1"/>
  <c r="AO10" i="1" s="1"/>
  <c r="BB35" i="1"/>
  <c r="BB33" i="1"/>
  <c r="BB27" i="1"/>
  <c r="BB25" i="1"/>
  <c r="BB21" i="1"/>
  <c r="AT31" i="1"/>
  <c r="AS30" i="1"/>
  <c r="AT20" i="1"/>
  <c r="AS19" i="1"/>
  <c r="AT19" i="1" s="1"/>
  <c r="AT11" i="1"/>
  <c r="AS38" i="1"/>
  <c r="AT38" i="1" s="1"/>
  <c r="BB34" i="1"/>
  <c r="BB32" i="1"/>
  <c r="BB14" i="1"/>
  <c r="BB12" i="1"/>
  <c r="AO17" i="1"/>
  <c r="BB22" i="1"/>
  <c r="BB20" i="1"/>
  <c r="BB23" i="1"/>
  <c r="BB13" i="1"/>
  <c r="BL38" i="1"/>
  <c r="BB31" i="1"/>
  <c r="BB17" i="1"/>
  <c r="BB11" i="1"/>
  <c r="AX38" i="1"/>
  <c r="BB38" i="1" s="1"/>
  <c r="AD38" i="1"/>
  <c r="AT30" i="1"/>
  <c r="BS38" i="1"/>
  <c r="BT38" i="1" s="1"/>
  <c r="BU31" i="1"/>
  <c r="BV31" i="1" s="1"/>
  <c r="BU32" i="1"/>
  <c r="BV32" i="1" s="1"/>
  <c r="BU33" i="1"/>
  <c r="BV33" i="1" s="1"/>
  <c r="BU34" i="1"/>
  <c r="BV34" i="1" s="1"/>
  <c r="BU11" i="1"/>
  <c r="BV11" i="1" s="1"/>
  <c r="BU12" i="1"/>
  <c r="BV12" i="1" s="1"/>
  <c r="BU13" i="1"/>
  <c r="BV13" i="1" s="1"/>
  <c r="BU14" i="1"/>
  <c r="BV14" i="1" s="1"/>
  <c r="BU17" i="1"/>
  <c r="BV17" i="1" s="1"/>
  <c r="BU20" i="1"/>
  <c r="BV20" i="1" s="1"/>
  <c r="BU21" i="1"/>
  <c r="BV21" i="1" s="1"/>
  <c r="BU22" i="1"/>
  <c r="BV22" i="1" s="1"/>
  <c r="BU23" i="1"/>
  <c r="BV23" i="1" s="1"/>
  <c r="BU24" i="1"/>
  <c r="BV24" i="1" s="1"/>
  <c r="BU25" i="1"/>
  <c r="BV25" i="1" s="1"/>
  <c r="BU26" i="1"/>
  <c r="BV26" i="1" s="1"/>
  <c r="BU27" i="1"/>
  <c r="BV27" i="1" s="1"/>
  <c r="BU28" i="1"/>
  <c r="BV28" i="1" s="1"/>
  <c r="BU35" i="1"/>
  <c r="BV35" i="1" s="1"/>
  <c r="BU36" i="1"/>
  <c r="BV36" i="1" s="1"/>
  <c r="AU32" i="1"/>
  <c r="AV32" i="1" s="1"/>
  <c r="AO31" i="1"/>
  <c r="AN38" i="1"/>
  <c r="AO38" i="1" s="1"/>
  <c r="U31" i="2" l="1"/>
  <c r="U17" i="2"/>
  <c r="U12" i="2"/>
  <c r="U13" i="2"/>
  <c r="U32" i="2"/>
  <c r="U14" i="2"/>
  <c r="U25" i="2"/>
  <c r="U34" i="2"/>
  <c r="U36" i="2"/>
  <c r="U35" i="2"/>
  <c r="U26" i="2"/>
  <c r="U33" i="2"/>
  <c r="R39" i="2"/>
  <c r="Q39" i="2"/>
  <c r="U22" i="2"/>
  <c r="U24" i="2"/>
  <c r="U23" i="2"/>
  <c r="V38" i="2"/>
  <c r="W22" i="2" s="1"/>
  <c r="X22" i="2" s="1"/>
  <c r="W11" i="2"/>
  <c r="X11" i="2" s="1"/>
  <c r="D41" i="2"/>
  <c r="AU13" i="1"/>
  <c r="AV13" i="1" s="1"/>
  <c r="AU36" i="1"/>
  <c r="AV36" i="1" s="1"/>
  <c r="AU26" i="1"/>
  <c r="AV26" i="1" s="1"/>
  <c r="AU22" i="1"/>
  <c r="AV22" i="1" s="1"/>
  <c r="AU25" i="1"/>
  <c r="AV25" i="1" s="1"/>
  <c r="AU17" i="1"/>
  <c r="AV17" i="1" s="1"/>
  <c r="AU14" i="1"/>
  <c r="AV14" i="1" s="1"/>
  <c r="AU21" i="1"/>
  <c r="AV21" i="1" s="1"/>
  <c r="AU31" i="1"/>
  <c r="AV31" i="1" s="1"/>
  <c r="AU35" i="1"/>
  <c r="AV35" i="1" s="1"/>
  <c r="AU28" i="1"/>
  <c r="AV28" i="1" s="1"/>
  <c r="AU20" i="1"/>
  <c r="AV20" i="1" s="1"/>
  <c r="AU34" i="1"/>
  <c r="AV34" i="1" s="1"/>
  <c r="AU23" i="1"/>
  <c r="AV23" i="1" s="1"/>
  <c r="AU11" i="1"/>
  <c r="AV11" i="1" s="1"/>
  <c r="AU33" i="1"/>
  <c r="AV33" i="1" s="1"/>
  <c r="AU24" i="1"/>
  <c r="AV24" i="1" s="1"/>
  <c r="AU12" i="1"/>
  <c r="AV12" i="1" s="1"/>
  <c r="AU27" i="1"/>
  <c r="AV27" i="1" s="1"/>
  <c r="BC13" i="1"/>
  <c r="BD13" i="1" s="1"/>
  <c r="U13" i="1" s="1"/>
  <c r="W13" i="1" s="1"/>
  <c r="BC22" i="1"/>
  <c r="BD22" i="1" s="1"/>
  <c r="BC23" i="1"/>
  <c r="BD23" i="1" s="1"/>
  <c r="U23" i="1" s="1"/>
  <c r="W23" i="1" s="1"/>
  <c r="BC26" i="1"/>
  <c r="BD26" i="1" s="1"/>
  <c r="U26" i="1" s="1"/>
  <c r="W26" i="1" s="1"/>
  <c r="BC27" i="1"/>
  <c r="BD27" i="1" s="1"/>
  <c r="BC32" i="1"/>
  <c r="BD32" i="1" s="1"/>
  <c r="U32" i="1" s="1"/>
  <c r="W32" i="1" s="1"/>
  <c r="BC33" i="1"/>
  <c r="BD33" i="1" s="1"/>
  <c r="BC36" i="1"/>
  <c r="BD36" i="1" s="1"/>
  <c r="BC11" i="1"/>
  <c r="BD11" i="1" s="1"/>
  <c r="BC12" i="1"/>
  <c r="BD12" i="1" s="1"/>
  <c r="BC14" i="1"/>
  <c r="BD14" i="1" s="1"/>
  <c r="BC17" i="1"/>
  <c r="BD17" i="1" s="1"/>
  <c r="BC20" i="1"/>
  <c r="BD20" i="1" s="1"/>
  <c r="U20" i="1" s="1"/>
  <c r="W20" i="1" s="1"/>
  <c r="BC21" i="1"/>
  <c r="BD21" i="1" s="1"/>
  <c r="BC24" i="1"/>
  <c r="BD24" i="1" s="1"/>
  <c r="BC25" i="1"/>
  <c r="BD25" i="1" s="1"/>
  <c r="BC28" i="1"/>
  <c r="BD28" i="1" s="1"/>
  <c r="BC31" i="1"/>
  <c r="BD31" i="1" s="1"/>
  <c r="U31" i="1" s="1"/>
  <c r="W31" i="1" s="1"/>
  <c r="BC34" i="1"/>
  <c r="BD34" i="1" s="1"/>
  <c r="BC35" i="1"/>
  <c r="BD35" i="1" s="1"/>
  <c r="Y22" i="2" l="1"/>
  <c r="Z22" i="2" s="1"/>
  <c r="AA22" i="2" s="1"/>
  <c r="E22" i="2" s="1"/>
  <c r="F22" i="2" s="1"/>
  <c r="F22" i="1" s="1"/>
  <c r="Y11" i="2"/>
  <c r="Z11" i="2" s="1"/>
  <c r="AA11" i="2" s="1"/>
  <c r="D39" i="2"/>
  <c r="R40" i="2"/>
  <c r="D40" i="2" s="1"/>
  <c r="W23" i="2"/>
  <c r="X23" i="2" s="1"/>
  <c r="W38" i="2"/>
  <c r="W13" i="2"/>
  <c r="X13" i="2" s="1"/>
  <c r="W17" i="2"/>
  <c r="X17" i="2" s="1"/>
  <c r="W33" i="2"/>
  <c r="X33" i="2" s="1"/>
  <c r="W36" i="2"/>
  <c r="X36" i="2" s="1"/>
  <c r="W25" i="2"/>
  <c r="X25" i="2" s="1"/>
  <c r="W32" i="2"/>
  <c r="X32" i="2" s="1"/>
  <c r="W14" i="2"/>
  <c r="X14" i="2" s="1"/>
  <c r="W12" i="2"/>
  <c r="X12" i="2" s="1"/>
  <c r="W31" i="2"/>
  <c r="X31" i="2" s="1"/>
  <c r="W26" i="2"/>
  <c r="X26" i="2" s="1"/>
  <c r="W35" i="2"/>
  <c r="X35" i="2" s="1"/>
  <c r="W34" i="2"/>
  <c r="X34" i="2" s="1"/>
  <c r="W27" i="2"/>
  <c r="X27" i="2" s="1"/>
  <c r="W28" i="2"/>
  <c r="X28" i="2" s="1"/>
  <c r="W21" i="2"/>
  <c r="X21" i="2" s="1"/>
  <c r="W24" i="2"/>
  <c r="X24" i="2" s="1"/>
  <c r="W20" i="2"/>
  <c r="X20" i="2" s="1"/>
  <c r="U35" i="1"/>
  <c r="W35" i="1" s="1"/>
  <c r="U21" i="1"/>
  <c r="W21" i="1" s="1"/>
  <c r="U17" i="1"/>
  <c r="W17" i="1" s="1"/>
  <c r="U36" i="1"/>
  <c r="W36" i="1" s="1"/>
  <c r="U22" i="1"/>
  <c r="W22" i="1" s="1"/>
  <c r="U25" i="1"/>
  <c r="W25" i="1" s="1"/>
  <c r="U34" i="1"/>
  <c r="W34" i="1" s="1"/>
  <c r="U24" i="1"/>
  <c r="W24" i="1" s="1"/>
  <c r="U33" i="1"/>
  <c r="W33" i="1" s="1"/>
  <c r="U14" i="1"/>
  <c r="W14" i="1" s="1"/>
  <c r="U28" i="1"/>
  <c r="W28" i="1" s="1"/>
  <c r="U11" i="1"/>
  <c r="W11" i="1" s="1"/>
  <c r="U27" i="1"/>
  <c r="W27" i="1" s="1"/>
  <c r="U12" i="1"/>
  <c r="W12" i="1" s="1"/>
  <c r="E11" i="2" l="1"/>
  <c r="Y20" i="2"/>
  <c r="Z20" i="2" s="1"/>
  <c r="AA20" i="2" s="1"/>
  <c r="E20" i="2" s="1"/>
  <c r="F20" i="2" s="1"/>
  <c r="F20" i="1" s="1"/>
  <c r="Y21" i="2"/>
  <c r="Z21" i="2" s="1"/>
  <c r="AA21" i="2" s="1"/>
  <c r="E21" i="2" s="1"/>
  <c r="F21" i="2" s="1"/>
  <c r="F21" i="1" s="1"/>
  <c r="Y27" i="2"/>
  <c r="Z27" i="2" s="1"/>
  <c r="AA27" i="2" s="1"/>
  <c r="E27" i="2" s="1"/>
  <c r="F27" i="2" s="1"/>
  <c r="F27" i="1" s="1"/>
  <c r="Y35" i="2"/>
  <c r="Z35" i="2" s="1"/>
  <c r="AA35" i="2" s="1"/>
  <c r="E35" i="2" s="1"/>
  <c r="F35" i="2" s="1"/>
  <c r="F35" i="1" s="1"/>
  <c r="Y31" i="2"/>
  <c r="Z31" i="2"/>
  <c r="AA31" i="2" s="1"/>
  <c r="E31" i="2" s="1"/>
  <c r="F31" i="2" s="1"/>
  <c r="F31" i="1" s="1"/>
  <c r="Y14" i="2"/>
  <c r="Z14" i="2" s="1"/>
  <c r="AA14" i="2" s="1"/>
  <c r="E14" i="2" s="1"/>
  <c r="F14" i="2" s="1"/>
  <c r="F14" i="1" s="1"/>
  <c r="Y25" i="2"/>
  <c r="Z25" i="2" s="1"/>
  <c r="AA25" i="2" s="1"/>
  <c r="E25" i="2" s="1"/>
  <c r="F25" i="2" s="1"/>
  <c r="F25" i="1" s="1"/>
  <c r="Y33" i="2"/>
  <c r="Z33" i="2" s="1"/>
  <c r="AA33" i="2" s="1"/>
  <c r="E33" i="2" s="1"/>
  <c r="F33" i="2" s="1"/>
  <c r="F33" i="1" s="1"/>
  <c r="Y13" i="2"/>
  <c r="Z13" i="2" s="1"/>
  <c r="AA13" i="2" s="1"/>
  <c r="E13" i="2" s="1"/>
  <c r="F13" i="2" s="1"/>
  <c r="F13" i="1" s="1"/>
  <c r="R42" i="2"/>
  <c r="Y24" i="2"/>
  <c r="Z24" i="2" s="1"/>
  <c r="AA24" i="2" s="1"/>
  <c r="E24" i="2" s="1"/>
  <c r="F24" i="2" s="1"/>
  <c r="F24" i="1" s="1"/>
  <c r="Y28" i="2"/>
  <c r="Z28" i="2" s="1"/>
  <c r="AA28" i="2" s="1"/>
  <c r="E28" i="2" s="1"/>
  <c r="F28" i="2" s="1"/>
  <c r="F28" i="1" s="1"/>
  <c r="Y34" i="2"/>
  <c r="Z34" i="2" s="1"/>
  <c r="AA34" i="2" s="1"/>
  <c r="E34" i="2" s="1"/>
  <c r="F34" i="2" s="1"/>
  <c r="F34" i="1" s="1"/>
  <c r="Y26" i="2"/>
  <c r="Z26" i="2" s="1"/>
  <c r="AA26" i="2" s="1"/>
  <c r="E26" i="2" s="1"/>
  <c r="F26" i="2" s="1"/>
  <c r="F26" i="1" s="1"/>
  <c r="Y12" i="2"/>
  <c r="Z12" i="2" s="1"/>
  <c r="AA12" i="2" s="1"/>
  <c r="Y32" i="2"/>
  <c r="Z32" i="2"/>
  <c r="AA32" i="2" s="1"/>
  <c r="E32" i="2" s="1"/>
  <c r="F32" i="2" s="1"/>
  <c r="F32" i="1" s="1"/>
  <c r="Y36" i="2"/>
  <c r="Z36" i="2"/>
  <c r="AA36" i="2" s="1"/>
  <c r="E36" i="2" s="1"/>
  <c r="F36" i="2" s="1"/>
  <c r="F36" i="1" s="1"/>
  <c r="Y17" i="2"/>
  <c r="Z17" i="2"/>
  <c r="AA17" i="2" s="1"/>
  <c r="E17" i="2" s="1"/>
  <c r="F17" i="2" s="1"/>
  <c r="F17" i="1" s="1"/>
  <c r="Y23" i="2"/>
  <c r="Z23" i="2"/>
  <c r="AA23" i="2" s="1"/>
  <c r="E23" i="2" s="1"/>
  <c r="F23" i="2" s="1"/>
  <c r="F23" i="1" s="1"/>
  <c r="D42" i="2"/>
  <c r="X42" i="2"/>
  <c r="U38" i="1"/>
  <c r="V11" i="1" s="1"/>
  <c r="W38" i="1"/>
  <c r="X33" i="1" s="1"/>
  <c r="Y33" i="1" s="1"/>
  <c r="Z33" i="1" s="1"/>
  <c r="AA33" i="1" s="1"/>
  <c r="AB33" i="1" s="1"/>
  <c r="E33" i="1" s="1"/>
  <c r="V22" i="1"/>
  <c r="V28" i="1"/>
  <c r="V13" i="1"/>
  <c r="V32" i="1"/>
  <c r="V24" i="1"/>
  <c r="V26" i="1"/>
  <c r="V33" i="1"/>
  <c r="V21" i="1"/>
  <c r="V23" i="1"/>
  <c r="V35" i="1"/>
  <c r="V36" i="1"/>
  <c r="V34" i="1"/>
  <c r="V14" i="1"/>
  <c r="V20" i="1"/>
  <c r="V12" i="1"/>
  <c r="V17" i="1"/>
  <c r="V27" i="1"/>
  <c r="V25" i="1"/>
  <c r="V31" i="1"/>
  <c r="X27" i="1"/>
  <c r="Y27" i="1" s="1"/>
  <c r="Z27" i="1" s="1"/>
  <c r="AA27" i="1" s="1"/>
  <c r="AB27" i="1" s="1"/>
  <c r="E27" i="1" s="1"/>
  <c r="X23" i="1"/>
  <c r="Y23" i="1" s="1"/>
  <c r="Z23" i="1" s="1"/>
  <c r="AA23" i="1" s="1"/>
  <c r="AB23" i="1" s="1"/>
  <c r="E23" i="1" s="1"/>
  <c r="X22" i="1"/>
  <c r="Y22" i="1" s="1"/>
  <c r="X26" i="1"/>
  <c r="Y26" i="1" s="1"/>
  <c r="X36" i="1"/>
  <c r="Y36" i="1" s="1"/>
  <c r="X34" i="1"/>
  <c r="Y34" i="1" s="1"/>
  <c r="X12" i="1"/>
  <c r="Y12" i="1" s="1"/>
  <c r="X21" i="1"/>
  <c r="Y21" i="1" s="1"/>
  <c r="X11" i="1"/>
  <c r="Y11" i="1" s="1"/>
  <c r="X31" i="1"/>
  <c r="Y31" i="1" s="1"/>
  <c r="E12" i="2" l="1"/>
  <c r="F12" i="2" s="1"/>
  <c r="F12" i="1" s="1"/>
  <c r="AA41" i="2"/>
  <c r="E41" i="2"/>
  <c r="F41" i="2" s="1"/>
  <c r="Y39" i="2"/>
  <c r="X25" i="1"/>
  <c r="Y25" i="1" s="1"/>
  <c r="Z25" i="1" s="1"/>
  <c r="AA25" i="1" s="1"/>
  <c r="AB25" i="1" s="1"/>
  <c r="E25" i="1" s="1"/>
  <c r="X35" i="1"/>
  <c r="Y35" i="1" s="1"/>
  <c r="X28" i="1"/>
  <c r="Y28" i="1" s="1"/>
  <c r="Z28" i="1" s="1"/>
  <c r="AA28" i="1" s="1"/>
  <c r="AB28" i="1" s="1"/>
  <c r="E28" i="1" s="1"/>
  <c r="X14" i="1"/>
  <c r="Y14" i="1" s="1"/>
  <c r="X38" i="1"/>
  <c r="X32" i="1"/>
  <c r="Y32" i="1" s="1"/>
  <c r="X24" i="1"/>
  <c r="Y24" i="1" s="1"/>
  <c r="X20" i="1"/>
  <c r="Y20" i="1" s="1"/>
  <c r="X13" i="1"/>
  <c r="Y13" i="1" s="1"/>
  <c r="Z13" i="1" s="1"/>
  <c r="X17" i="1"/>
  <c r="Y17" i="1" s="1"/>
  <c r="Z17" i="1" s="1"/>
  <c r="AA17" i="1" s="1"/>
  <c r="AA13" i="1"/>
  <c r="AB13" i="1" s="1"/>
  <c r="E13" i="1" s="1"/>
  <c r="AB17" i="1"/>
  <c r="E17" i="1" s="1"/>
  <c r="Z11" i="1"/>
  <c r="Z35" i="1"/>
  <c r="AA35" i="1" s="1"/>
  <c r="AB35" i="1" s="1"/>
  <c r="E35" i="1" s="1"/>
  <c r="Z14" i="1"/>
  <c r="AA14" i="1" s="1"/>
  <c r="AB14" i="1" s="1"/>
  <c r="E14" i="1" s="1"/>
  <c r="Z32" i="1"/>
  <c r="AA32" i="1" s="1"/>
  <c r="AB32" i="1" s="1"/>
  <c r="E32" i="1" s="1"/>
  <c r="Z24" i="1"/>
  <c r="AA24" i="1" s="1"/>
  <c r="AB24" i="1" s="1"/>
  <c r="E24" i="1" s="1"/>
  <c r="Z20" i="1"/>
  <c r="AA20" i="1" s="1"/>
  <c r="AB20" i="1" s="1"/>
  <c r="E20" i="1" s="1"/>
  <c r="Z31" i="1"/>
  <c r="AA31" i="1" s="1"/>
  <c r="Z21" i="1"/>
  <c r="AA21" i="1" s="1"/>
  <c r="AB21" i="1" s="1"/>
  <c r="E21" i="1" s="1"/>
  <c r="Z12" i="1"/>
  <c r="AA12" i="1" s="1"/>
  <c r="AB12" i="1" s="1"/>
  <c r="E12" i="1" s="1"/>
  <c r="Z34" i="1"/>
  <c r="AA34" i="1" s="1"/>
  <c r="AB34" i="1" s="1"/>
  <c r="E34" i="1" s="1"/>
  <c r="Z36" i="1"/>
  <c r="AA36" i="1" s="1"/>
  <c r="AB36" i="1" s="1"/>
  <c r="E36" i="1" s="1"/>
  <c r="Z26" i="1"/>
  <c r="AA26" i="1" s="1"/>
  <c r="AB26" i="1" s="1"/>
  <c r="E26" i="1" s="1"/>
  <c r="Z22" i="1"/>
  <c r="AA22" i="1" s="1"/>
  <c r="AB22" i="1" s="1"/>
  <c r="E22" i="1" s="1"/>
  <c r="F41" i="1" l="1"/>
  <c r="F42" i="1" s="1"/>
  <c r="Z39" i="2"/>
  <c r="AA39" i="2"/>
  <c r="Y42" i="1"/>
  <c r="AA11" i="1"/>
  <c r="AB11" i="1" s="1"/>
  <c r="E11" i="1" s="1"/>
  <c r="Z39" i="1"/>
  <c r="AB31" i="1"/>
  <c r="E31" i="1" s="1"/>
  <c r="G42" i="1" l="1"/>
  <c r="E39" i="2"/>
  <c r="AA40" i="2"/>
  <c r="E40" i="2" s="1"/>
  <c r="F40" i="2" s="1"/>
  <c r="AB41" i="1"/>
  <c r="AB39" i="1"/>
  <c r="E39" i="1" s="1"/>
  <c r="AA39" i="1"/>
  <c r="E42" i="2" l="1"/>
  <c r="F39" i="2"/>
  <c r="F42" i="2" s="1"/>
  <c r="AA42" i="2"/>
  <c r="AB40" i="1"/>
  <c r="E40" i="1" s="1"/>
  <c r="AB42" i="1" l="1"/>
  <c r="P41" i="1"/>
  <c r="P5" i="1" s="1"/>
  <c r="P33" i="1" l="1"/>
  <c r="P21" i="1"/>
  <c r="P27" i="1"/>
  <c r="P28" i="1"/>
  <c r="P12" i="1"/>
  <c r="P31" i="1"/>
  <c r="P23" i="1"/>
  <c r="P35" i="1"/>
  <c r="P36" i="1"/>
  <c r="P34" i="1"/>
  <c r="P22" i="1"/>
  <c r="P11" i="1"/>
  <c r="P13" i="1"/>
  <c r="P17" i="1"/>
  <c r="P26" i="1"/>
  <c r="P25" i="1"/>
  <c r="P24" i="1"/>
  <c r="P14" i="1"/>
  <c r="P20" i="1"/>
  <c r="P32" i="1"/>
  <c r="P42" i="1" l="1"/>
  <c r="Q32" i="1"/>
  <c r="R32" i="1" s="1"/>
  <c r="S32" i="1" s="1"/>
  <c r="D32" i="1" s="1"/>
  <c r="G32" i="1" s="1"/>
  <c r="Q25" i="1"/>
  <c r="R25" i="1" s="1"/>
  <c r="S25" i="1" s="1"/>
  <c r="D25" i="1" s="1"/>
  <c r="G25" i="1" s="1"/>
  <c r="Q11" i="1"/>
  <c r="Q35" i="1"/>
  <c r="R35" i="1" s="1"/>
  <c r="S35" i="1" s="1"/>
  <c r="D35" i="1" s="1"/>
  <c r="G35" i="1" s="1"/>
  <c r="Q28" i="1"/>
  <c r="R28" i="1" s="1"/>
  <c r="S28" i="1" s="1"/>
  <c r="D28" i="1" s="1"/>
  <c r="G28" i="1" s="1"/>
  <c r="Q26" i="1"/>
  <c r="R26" i="1" s="1"/>
  <c r="S26" i="1" s="1"/>
  <c r="D26" i="1" s="1"/>
  <c r="G26" i="1" s="1"/>
  <c r="Q22" i="1"/>
  <c r="R22" i="1" s="1"/>
  <c r="S22" i="1" s="1"/>
  <c r="D22" i="1" s="1"/>
  <c r="G22" i="1" s="1"/>
  <c r="Q23" i="1"/>
  <c r="R23" i="1" s="1"/>
  <c r="S23" i="1" s="1"/>
  <c r="D23" i="1" s="1"/>
  <c r="G23" i="1" s="1"/>
  <c r="Q27" i="1"/>
  <c r="R27" i="1" s="1"/>
  <c r="S27" i="1" s="1"/>
  <c r="D27" i="1" s="1"/>
  <c r="G27" i="1" s="1"/>
  <c r="Q20" i="1"/>
  <c r="R20" i="1" s="1"/>
  <c r="S20" i="1" s="1"/>
  <c r="D20" i="1" s="1"/>
  <c r="G20" i="1" s="1"/>
  <c r="Q17" i="1"/>
  <c r="R17" i="1" s="1"/>
  <c r="S17" i="1" s="1"/>
  <c r="D17" i="1" s="1"/>
  <c r="G17" i="1" s="1"/>
  <c r="Q31" i="1"/>
  <c r="R31" i="1" s="1"/>
  <c r="S31" i="1" s="1"/>
  <c r="D31" i="1" s="1"/>
  <c r="G31" i="1" s="1"/>
  <c r="Q21" i="1"/>
  <c r="R21" i="1" s="1"/>
  <c r="S21" i="1" s="1"/>
  <c r="D21" i="1" s="1"/>
  <c r="G21" i="1" s="1"/>
  <c r="Q14" i="1"/>
  <c r="R14" i="1" s="1"/>
  <c r="S14" i="1" s="1"/>
  <c r="D14" i="1" s="1"/>
  <c r="G14" i="1" s="1"/>
  <c r="Q34" i="1"/>
  <c r="R34" i="1" s="1"/>
  <c r="S34" i="1" s="1"/>
  <c r="D34" i="1" s="1"/>
  <c r="G34" i="1" s="1"/>
  <c r="Q24" i="1"/>
  <c r="R24" i="1" s="1"/>
  <c r="S24" i="1" s="1"/>
  <c r="D24" i="1" s="1"/>
  <c r="G24" i="1" s="1"/>
  <c r="Q13" i="1"/>
  <c r="R13" i="1" s="1"/>
  <c r="S13" i="1" s="1"/>
  <c r="D13" i="1" s="1"/>
  <c r="G13" i="1" s="1"/>
  <c r="Q36" i="1"/>
  <c r="R36" i="1" s="1"/>
  <c r="S36" i="1" s="1"/>
  <c r="D36" i="1" s="1"/>
  <c r="G36" i="1" s="1"/>
  <c r="Q12" i="1"/>
  <c r="R12" i="1" s="1"/>
  <c r="S12" i="1" s="1"/>
  <c r="D12" i="1" s="1"/>
  <c r="G12" i="1" s="1"/>
  <c r="Q33" i="1"/>
  <c r="R33" i="1" s="1"/>
  <c r="S33" i="1" s="1"/>
  <c r="D33" i="1" s="1"/>
  <c r="G33" i="1" s="1"/>
  <c r="Q39" i="1" l="1"/>
  <c r="R11" i="1"/>
  <c r="S11" i="1" s="1"/>
  <c r="S41" i="1" l="1"/>
  <c r="D11" i="1"/>
  <c r="R39" i="1"/>
  <c r="S39" i="1"/>
  <c r="D39" i="1" l="1"/>
  <c r="S40" i="1"/>
  <c r="D40" i="1" s="1"/>
  <c r="S42" i="1" l="1"/>
  <c r="D42" i="1"/>
</calcChain>
</file>

<file path=xl/comments1.xml><?xml version="1.0" encoding="utf-8"?>
<comments xmlns="http://schemas.openxmlformats.org/spreadsheetml/2006/main">
  <authors>
    <author>Ondřej Peřina</author>
    <author>HP</author>
  </authors>
  <commentList>
    <comment ref="U7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nadstavba není zatím pro rok 2010 dopočtena! Bude upřesněno, až bude známa částka nadstavby dotace pro Liberecký kraj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Součet bodů za všechna kritéria nadstavby násobená jejich koeficienty významu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Odchylka počtu bodů daného střediska od průměrného počtu bodů všech středisek.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součin všech členů střediska a celkového počtu získaných bodů
(nadstavba se rozděluje na všechny členy stejně)</t>
        </r>
      </text>
    </comment>
    <comment ref="AD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nezapočítávají se hostující členové, neboť z nich
  kraj nic nemá zkreslovali by přehled
- čestní členové se započítávají</t>
        </r>
      </text>
    </comment>
    <comment ref="AX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počítají se vůdci všech typů oddílů bez rozdílu</t>
        </r>
      </text>
    </comment>
    <comment ref="AY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počítají se vůdci všech typů oddílů bez rozdílu</t>
        </r>
      </text>
    </comment>
    <comment ref="AZ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členů, neboť jiné typy nemusí mít zástupce vůbec</t>
        </r>
      </text>
    </comment>
    <comment ref="BA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 (pokud není pozice obsazena, považuje se to za nedostatečnou kvalifikaci), neboť jiné typy nemusí mít zástupce vůbec</t>
        </r>
      </text>
    </comment>
    <comment ref="BB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Ondřej Peřina:
</t>
        </r>
        <r>
          <rPr>
            <sz val="9"/>
            <color indexed="81"/>
            <rFont val="Tahoma"/>
            <family val="2"/>
            <charset val="238"/>
          </rPr>
          <t>potřebná kvalifikace se vypočte z celkového počtu funkcí, které musí být obsazeny s vůdcovskou kvalifikací a určuje se podíl vůči reálnému počtu kvalifikovaných osob</t>
        </r>
      </text>
    </comment>
    <comment ref="BG8" author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alespoň 1 zástupce musí mít VZ</t>
        </r>
      </text>
    </comment>
    <comment ref="BH8" author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vedoucí musí mít VZ
zástupci nás vůbec nezajímají</t>
        </r>
      </text>
    </comment>
    <comment ref="BI8" author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vůdce musí mít buď VZ (nebo ČZ + kvalifikace pro vedení KD)
zástupci nás vůbec nezajímají
</t>
        </r>
      </text>
    </comment>
    <comment ref="BJ8" author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vůdce musí mít alespoň ČZ
a zástupci nás vůbec nezajímají</t>
        </r>
      </text>
    </comment>
    <comment ref="BL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počet členů, kteří byli registrováni v roce 2009 a letos již nejsou</t>
        </r>
      </text>
    </comment>
    <comment ref="BM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Průměrná délka členství osob, které se již letos neregistrovaly</t>
        </r>
      </text>
    </comment>
    <comment ref="D38" authorId="1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aktualizováno 2014</t>
        </r>
      </text>
    </comment>
    <comment ref="E38" authorId="1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Aktualizováno 2014
</t>
        </r>
      </text>
    </comment>
    <comment ref="P39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aktualizováno 2014</t>
        </r>
      </text>
    </comment>
    <comment ref="Y39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aktualizováno 2014 
(dle dotační vyhlášky KRJ)</t>
        </r>
      </text>
    </comment>
  </commentList>
</comments>
</file>

<file path=xl/comments2.xml><?xml version="1.0" encoding="utf-8"?>
<comments xmlns="http://schemas.openxmlformats.org/spreadsheetml/2006/main">
  <authors>
    <author>Ondřej Peřina</author>
    <author>HP</author>
  </authors>
  <commentList>
    <comment ref="T7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nadstavba není zatím pro rok 2010 dopočtena! Bude upřesněno, až bude známa částka nadstavby dotace pro Liberecký kraj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Součet bodů za všechna kritéria nadstavby násobená jejich koeficienty významu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Odchylka počtu bodů daného střediska od průměrného počtu bodů všech středisek.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součin všech členů střediska a celkového počtu získaných bodů
(nadstavba se rozděluje na všechny členy stejně)</t>
        </r>
      </text>
    </comment>
    <comment ref="AC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nezapočítávají se hostující členové, neboť z nich
  kraj nic nemá zkreslovali by přehled
- čestní členové se započítávají</t>
        </r>
      </text>
    </comment>
    <comment ref="AW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počítají se vůdci všech typů oddílů bez rozdílu</t>
        </r>
      </text>
    </comment>
    <comment ref="AX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počítají se vůdci všech typů oddílů bez rozdílu</t>
        </r>
      </text>
    </comment>
    <comment ref="AY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členů, neboť jiné typy nemusí mít zástupce vůbec</t>
        </r>
      </text>
    </comment>
    <comment ref="AZ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 (pokud není pozice obsazena, považuje se to za nedostatečnou kvalifikaci), neboť jiné typy nemusí mít zástupce vůbec</t>
        </r>
      </text>
    </comment>
    <comment ref="BA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Ondřej Peřina:
</t>
        </r>
        <r>
          <rPr>
            <sz val="9"/>
            <color indexed="81"/>
            <rFont val="Tahoma"/>
            <family val="2"/>
            <charset val="238"/>
          </rPr>
          <t>potřebná kvalifikace se vypočte z celkového počtu funkcí, které musí být obsazeny s vůdcovskou kvalifikací a určuje se podíl vůči reálnému počtu kvalifikovaných osob</t>
        </r>
      </text>
    </comment>
    <comment ref="BF8" author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alespoň 1 zástupce musí mít VZ</t>
        </r>
      </text>
    </comment>
    <comment ref="BG8" author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vedoucí musí mít VZ
zástupci nás vůbec nezajímají</t>
        </r>
      </text>
    </comment>
    <comment ref="BH8" author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vůdce musí mít buď VZ (nebo ČZ + kvalifikace pro vedení KD)
zástupci nás vůbec nezajímají
</t>
        </r>
      </text>
    </comment>
    <comment ref="BI8" author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vůdce musí mít alespoň ČZ
a zástupci nás vůbec nezajímají</t>
        </r>
      </text>
    </comment>
    <comment ref="BK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počet členů, kteří byli registrováni v roce 2009 a letos již nejsou</t>
        </r>
      </text>
    </comment>
    <comment ref="BL8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Průměrná délka členství osob, které se již letos neregistrovaly</t>
        </r>
      </text>
    </comment>
    <comment ref="D38" authorId="1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aktualizováno 2014</t>
        </r>
      </text>
    </comment>
    <comment ref="E38" authorId="1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Aktualizováno 2014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aktualizováno 2014</t>
        </r>
      </text>
    </comment>
    <comment ref="X39" author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aktualizováno 2014 
(dle dotační vyhlášky KRJ)</t>
        </r>
      </text>
    </comment>
  </commentList>
</comments>
</file>

<file path=xl/sharedStrings.xml><?xml version="1.0" encoding="utf-8"?>
<sst xmlns="http://schemas.openxmlformats.org/spreadsheetml/2006/main" count="700" uniqueCount="119">
  <si>
    <t>Junák - svaz skautů a skautek ČR, Liberecký kraj</t>
  </si>
  <si>
    <t>Zemědělská 302/18a, 46008 Liberec 8</t>
  </si>
  <si>
    <t>částka pro výpočet na různé věkové skupiny:</t>
  </si>
  <si>
    <t>IČ: 709 00 973 | ev. č.: 510</t>
  </si>
  <si>
    <t>na díl</t>
  </si>
  <si>
    <t>(3 : 2 : 1)</t>
  </si>
  <si>
    <t>Ev. č.</t>
  </si>
  <si>
    <t>Název OJ</t>
  </si>
  <si>
    <t>Výsledná dotace pro jednotku</t>
  </si>
  <si>
    <t>srážka</t>
  </si>
  <si>
    <t>Základ dotace</t>
  </si>
  <si>
    <t>Nadstavba dotace</t>
  </si>
  <si>
    <t>počet členů</t>
  </si>
  <si>
    <r>
      <t>věková struktura členů</t>
    </r>
    <r>
      <rPr>
        <sz val="11"/>
        <color theme="0"/>
        <rFont val="Calibri"/>
        <family val="2"/>
        <charset val="238"/>
      </rPr>
      <t xml:space="preserve"> (pro dotace)</t>
    </r>
  </si>
  <si>
    <t>Meziroční celkový nárůst členů</t>
  </si>
  <si>
    <t>1) Meziroční nárůst členů mladších 18 let</t>
  </si>
  <si>
    <t>2) Minimální kvalifikace vůdců a zástupců (na oddíl)</t>
  </si>
  <si>
    <t>Typy oddílů a jejich počty</t>
  </si>
  <si>
    <t>3) Délka členství odch. mladších členů</t>
  </si>
  <si>
    <t>OJ</t>
  </si>
  <si>
    <t>(střediska, případně okresy)</t>
  </si>
  <si>
    <t>základ</t>
  </si>
  <si>
    <t>nadstavba</t>
  </si>
  <si>
    <t>celkem</t>
  </si>
  <si>
    <t>dnů</t>
  </si>
  <si>
    <t>započ. týdnů</t>
  </si>
  <si>
    <t>dotace</t>
  </si>
  <si>
    <t>vypočtený nárok</t>
  </si>
  <si>
    <t>před zaokr.</t>
  </si>
  <si>
    <t>body</t>
  </si>
  <si>
    <t>rel. úspěšnost</t>
  </si>
  <si>
    <t>body x počet členů</t>
  </si>
  <si>
    <t>podíl z nadstavby</t>
  </si>
  <si>
    <t>řádných</t>
  </si>
  <si>
    <t>hostujících</t>
  </si>
  <si>
    <t>čestných</t>
  </si>
  <si>
    <t>nad 26 let</t>
  </si>
  <si>
    <t>do 26 let</t>
  </si>
  <si>
    <t>dětí</t>
  </si>
  <si>
    <t>abs. změna</t>
  </si>
  <si>
    <t>rel. změna</t>
  </si>
  <si>
    <t>váha: 0,2</t>
  </si>
  <si>
    <t>vůdce s</t>
  </si>
  <si>
    <t>vůdce bez</t>
  </si>
  <si>
    <t>zástupce s</t>
  </si>
  <si>
    <t>zástupce bez</t>
  </si>
  <si>
    <t>podíl</t>
  </si>
  <si>
    <t>váha: 0,25</t>
  </si>
  <si>
    <t>dětských</t>
  </si>
  <si>
    <t>roveři</t>
  </si>
  <si>
    <t>klub OS</t>
  </si>
  <si>
    <t>Odchozí</t>
  </si>
  <si>
    <t>Délka čl.</t>
  </si>
  <si>
    <t>váha: 0,35</t>
  </si>
  <si>
    <t>táborů</t>
  </si>
  <si>
    <t>děťodny</t>
  </si>
  <si>
    <t>mladších členů</t>
  </si>
  <si>
    <t>---</t>
  </si>
  <si>
    <t>511.01</t>
  </si>
  <si>
    <t>středisko "ŘETĚZ" Česká Lípa</t>
  </si>
  <si>
    <t>511.02</t>
  </si>
  <si>
    <t>středisko "KLÍČ" Nový Bor</t>
  </si>
  <si>
    <t>511.04</t>
  </si>
  <si>
    <t>středisko DOKSY</t>
  </si>
  <si>
    <t>511.05</t>
  </si>
  <si>
    <t>přístav "RALSKO" Mimoň</t>
  </si>
  <si>
    <t>513.01</t>
  </si>
  <si>
    <t>středisko "JEŠTĚD" Liberec</t>
  </si>
  <si>
    <t>513.04</t>
  </si>
  <si>
    <t>středisko "STOPA" Liberec</t>
  </si>
  <si>
    <t>513.05</t>
  </si>
  <si>
    <t>středisko "MUSTANG" Liberec</t>
  </si>
  <si>
    <t>513.07</t>
  </si>
  <si>
    <t>přístav "FLOTILA" Liberec</t>
  </si>
  <si>
    <t>513.09</t>
  </si>
  <si>
    <t>středisko "ŠUREAN" Liberec</t>
  </si>
  <si>
    <t>513.10</t>
  </si>
  <si>
    <t>přístav "MAJÁK" Liberec</t>
  </si>
  <si>
    <t>513.12</t>
  </si>
  <si>
    <t>středisko "HRÁDEK" Hrádek nad Nisou</t>
  </si>
  <si>
    <t>513.15</t>
  </si>
  <si>
    <t>středisko "DUB" Český Dub</t>
  </si>
  <si>
    <t>513.20</t>
  </si>
  <si>
    <t>středisko "OS JAROSLAVA ČAPKA" Liberec</t>
  </si>
  <si>
    <t>514.01</t>
  </si>
  <si>
    <t>středisko "VARTA" Semily</t>
  </si>
  <si>
    <t>514.02</t>
  </si>
  <si>
    <t>středisko "ŠTIKA" Turnov</t>
  </si>
  <si>
    <t>514.03</t>
  </si>
  <si>
    <t>středisko "JILM" Jilemnice</t>
  </si>
  <si>
    <t>514.06</t>
  </si>
  <si>
    <t>středisko "ÚDOLÍ" Železný Brod</t>
  </si>
  <si>
    <t>514.07</t>
  </si>
  <si>
    <t>středisko "LÍPA" Tatobity</t>
  </si>
  <si>
    <t>514.11</t>
  </si>
  <si>
    <t>středisko "JESTŘÁB" Jilemnice</t>
  </si>
  <si>
    <t>Liberecký kraj</t>
  </si>
  <si>
    <t>ponechávaná kraji přímo na vlastní aktivity</t>
  </si>
  <si>
    <t>ponecháno kraji (vliv zaokrouhlení)</t>
  </si>
  <si>
    <t>dotace rozdělovaná jednotkám v kraji</t>
  </si>
  <si>
    <t>kontrola</t>
  </si>
  <si>
    <t>Rozdělení dotací dle krajské vyhlášky 1/2014</t>
  </si>
  <si>
    <t>512.99</t>
  </si>
  <si>
    <t>okres Jablonec nad Nisou</t>
  </si>
  <si>
    <t>aktualizováno 2014</t>
  </si>
  <si>
    <t>4) Počet děťodnů na táborech 2013</t>
  </si>
  <si>
    <t>klub rod.</t>
  </si>
  <si>
    <t>zpracovala:</t>
  </si>
  <si>
    <t>oblast Českolipsko</t>
  </si>
  <si>
    <t>oblast Jablonecko</t>
  </si>
  <si>
    <t>oblast Liberecko</t>
  </si>
  <si>
    <t>oblast Semilsko</t>
  </si>
  <si>
    <t>--</t>
  </si>
  <si>
    <t>Registrace - opoždění</t>
  </si>
  <si>
    <t>Hlášenky táb. - opoždění</t>
  </si>
  <si>
    <t>mimořádná</t>
  </si>
  <si>
    <t>Rozdělení dotací dle krajské vyhlášky 1/2014 - mimořádná dotace od Ústředí</t>
  </si>
  <si>
    <t>Tereza Peřinová - Andílek, 25.9.2014</t>
  </si>
  <si>
    <t>Tereza Peřinová - Andílek, 26.9.2014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</si>
</sst>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_ ;[Red]\-0\ "/>
    <numFmt numFmtId="165" formatCode="\+0.00%;[Red]\-0.00%"/>
    <numFmt numFmtId="166" formatCode="0.0000%"/>
    <numFmt numFmtId="167" formatCode="0.0000"/>
    <numFmt numFmtId="168" formatCode="#,##0.0000_ ;\-#,##0.0000\ "/>
    <numFmt numFmtId="169" formatCode="#,##0_ ;\-#,##0\ "/>
    <numFmt numFmtId="170" formatCode="_-* #,##0.00\ &quot;Kč&quot;_-;\-* #,##0.00\ &quot;Kč&quot;_-;_-* &quot;-&quot;\ &quot;Kč&quot;_-;_-@_-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28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499984740745262"/>
      <name val="Arial"/>
      <family val="2"/>
      <charset val="238"/>
    </font>
    <font>
      <sz val="11"/>
      <color theme="6" tint="-0.49998474074526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8" borderId="0" applyNumberFormat="0" applyBorder="0" applyAlignment="0" applyProtection="0"/>
    <xf numFmtId="0" fontId="22" fillId="0" borderId="0"/>
  </cellStyleXfs>
  <cellXfs count="57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44" fontId="4" fillId="0" borderId="0" xfId="1" applyFont="1" applyAlignment="1"/>
    <xf numFmtId="0" fontId="6" fillId="0" borderId="0" xfId="0" applyFont="1" applyAlignment="1"/>
    <xf numFmtId="44" fontId="3" fillId="0" borderId="0" xfId="1" applyFont="1"/>
    <xf numFmtId="0" fontId="6" fillId="0" borderId="0" xfId="0" applyFont="1" applyFill="1" applyBorder="1" applyAlignment="1">
      <alignment horizontal="left"/>
    </xf>
    <xf numFmtId="0" fontId="8" fillId="2" borderId="38" xfId="0" applyFont="1" applyFill="1" applyBorder="1"/>
    <xf numFmtId="0" fontId="9" fillId="2" borderId="2" xfId="0" applyFont="1" applyFill="1" applyBorder="1"/>
    <xf numFmtId="42" fontId="9" fillId="2" borderId="2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2" fontId="9" fillId="2" borderId="34" xfId="1" applyNumberFormat="1" applyFont="1" applyFill="1" applyBorder="1" applyAlignment="1">
      <alignment horizontal="center"/>
    </xf>
    <xf numFmtId="42" fontId="9" fillId="2" borderId="8" xfId="1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3" fontId="9" fillId="2" borderId="34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42" fontId="9" fillId="2" borderId="3" xfId="1" applyNumberFormat="1" applyFont="1" applyFill="1" applyBorder="1" applyAlignment="1">
      <alignment horizontal="center"/>
    </xf>
    <xf numFmtId="0" fontId="6" fillId="3" borderId="11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center"/>
    </xf>
    <xf numFmtId="42" fontId="4" fillId="0" borderId="0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18" xfId="0" applyFont="1" applyFill="1" applyBorder="1"/>
    <xf numFmtId="0" fontId="11" fillId="0" borderId="47" xfId="0" applyFont="1" applyFill="1" applyBorder="1"/>
    <xf numFmtId="0" fontId="11" fillId="4" borderId="24" xfId="0" quotePrefix="1" applyNumberFormat="1" applyFont="1" applyFill="1" applyBorder="1" applyAlignment="1">
      <alignment horizontal="center"/>
    </xf>
    <xf numFmtId="0" fontId="10" fillId="4" borderId="26" xfId="0" quotePrefix="1" applyNumberFormat="1" applyFont="1" applyFill="1" applyBorder="1" applyAlignment="1">
      <alignment horizontal="center"/>
    </xf>
    <xf numFmtId="0" fontId="11" fillId="4" borderId="27" xfId="1" quotePrefix="1" applyNumberFormat="1" applyFont="1" applyFill="1" applyBorder="1" applyAlignment="1">
      <alignment horizontal="center"/>
    </xf>
    <xf numFmtId="0" fontId="11" fillId="4" borderId="43" xfId="2" quotePrefix="1" applyNumberFormat="1" applyFont="1" applyFill="1" applyBorder="1" applyAlignment="1">
      <alignment horizontal="center"/>
    </xf>
    <xf numFmtId="0" fontId="11" fillId="4" borderId="53" xfId="0" quotePrefix="1" applyNumberFormat="1" applyFont="1" applyFill="1" applyBorder="1" applyAlignment="1">
      <alignment horizontal="center"/>
    </xf>
    <xf numFmtId="0" fontId="11" fillId="4" borderId="24" xfId="1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32" xfId="1" applyNumberFormat="1" applyFont="1" applyFill="1" applyBorder="1" applyAlignment="1">
      <alignment horizontal="center"/>
    </xf>
    <xf numFmtId="0" fontId="4" fillId="0" borderId="44" xfId="2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19" xfId="1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/>
    </xf>
    <xf numFmtId="0" fontId="4" fillId="0" borderId="45" xfId="2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50" xfId="1" applyNumberFormat="1" applyFont="1" applyFill="1" applyBorder="1" applyAlignment="1">
      <alignment horizontal="center"/>
    </xf>
    <xf numFmtId="0" fontId="4" fillId="0" borderId="52" xfId="2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0" fontId="4" fillId="0" borderId="48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11" fillId="6" borderId="24" xfId="0" quotePrefix="1" applyNumberFormat="1" applyFont="1" applyFill="1" applyBorder="1" applyAlignment="1">
      <alignment horizontal="center"/>
    </xf>
    <xf numFmtId="0" fontId="10" fillId="6" borderId="26" xfId="0" quotePrefix="1" applyNumberFormat="1" applyFont="1" applyFill="1" applyBorder="1" applyAlignment="1">
      <alignment horizontal="center"/>
    </xf>
    <xf numFmtId="0" fontId="11" fillId="6" borderId="27" xfId="1" quotePrefix="1" applyNumberFormat="1" applyFont="1" applyFill="1" applyBorder="1" applyAlignment="1">
      <alignment horizontal="center"/>
    </xf>
    <xf numFmtId="0" fontId="11" fillId="6" borderId="43" xfId="2" quotePrefix="1" applyNumberFormat="1" applyFont="1" applyFill="1" applyBorder="1" applyAlignment="1">
      <alignment horizontal="center"/>
    </xf>
    <xf numFmtId="0" fontId="11" fillId="6" borderId="53" xfId="0" quotePrefix="1" applyNumberFormat="1" applyFont="1" applyFill="1" applyBorder="1" applyAlignment="1">
      <alignment horizontal="center"/>
    </xf>
    <xf numFmtId="0" fontId="11" fillId="6" borderId="24" xfId="1" quotePrefix="1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6" fillId="3" borderId="10" xfId="2" applyNumberFormat="1" applyFont="1" applyFill="1" applyBorder="1" applyAlignment="1">
      <alignment horizontal="center"/>
    </xf>
    <xf numFmtId="0" fontId="6" fillId="3" borderId="42" xfId="2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6" fillId="3" borderId="5" xfId="0" quotePrefix="1" applyNumberFormat="1" applyFont="1" applyFill="1" applyBorder="1" applyAlignment="1">
      <alignment horizontal="center"/>
    </xf>
    <xf numFmtId="9" fontId="4" fillId="0" borderId="28" xfId="2" applyFont="1" applyFill="1" applyBorder="1" applyAlignment="1">
      <alignment horizontal="center"/>
    </xf>
    <xf numFmtId="9" fontId="4" fillId="0" borderId="4" xfId="2" applyFont="1" applyFill="1" applyBorder="1" applyAlignment="1">
      <alignment horizontal="center"/>
    </xf>
    <xf numFmtId="9" fontId="4" fillId="0" borderId="48" xfId="2" applyFont="1" applyFill="1" applyBorder="1" applyAlignment="1">
      <alignment horizontal="center"/>
    </xf>
    <xf numFmtId="42" fontId="9" fillId="2" borderId="58" xfId="1" applyNumberFormat="1" applyFont="1" applyFill="1" applyBorder="1" applyAlignment="1">
      <alignment horizontal="center"/>
    </xf>
    <xf numFmtId="0" fontId="11" fillId="4" borderId="60" xfId="1" quotePrefix="1" applyNumberFormat="1" applyFont="1" applyFill="1" applyBorder="1" applyAlignment="1">
      <alignment horizontal="center"/>
    </xf>
    <xf numFmtId="0" fontId="4" fillId="0" borderId="61" xfId="1" applyNumberFormat="1" applyFont="1" applyFill="1" applyBorder="1" applyAlignment="1">
      <alignment horizontal="center"/>
    </xf>
    <xf numFmtId="0" fontId="4" fillId="0" borderId="62" xfId="1" applyNumberFormat="1" applyFont="1" applyFill="1" applyBorder="1" applyAlignment="1">
      <alignment horizontal="center"/>
    </xf>
    <xf numFmtId="0" fontId="4" fillId="0" borderId="63" xfId="1" applyNumberFormat="1" applyFont="1" applyFill="1" applyBorder="1" applyAlignment="1">
      <alignment horizontal="center"/>
    </xf>
    <xf numFmtId="0" fontId="11" fillId="6" borderId="60" xfId="1" quotePrefix="1" applyNumberFormat="1" applyFont="1" applyFill="1" applyBorder="1" applyAlignment="1">
      <alignment horizontal="center"/>
    </xf>
    <xf numFmtId="0" fontId="6" fillId="3" borderId="59" xfId="1" applyNumberFormat="1" applyFont="1" applyFill="1" applyBorder="1" applyAlignment="1">
      <alignment horizontal="center"/>
    </xf>
    <xf numFmtId="0" fontId="16" fillId="0" borderId="55" xfId="3" applyNumberFormat="1" applyFont="1" applyFill="1" applyBorder="1" applyAlignment="1">
      <alignment horizontal="center"/>
    </xf>
    <xf numFmtId="0" fontId="4" fillId="0" borderId="28" xfId="1" applyNumberFormat="1" applyFont="1" applyFill="1" applyBorder="1" applyAlignment="1">
      <alignment horizontal="center"/>
    </xf>
    <xf numFmtId="0" fontId="11" fillId="4" borderId="53" xfId="1" quotePrefix="1" applyNumberFormat="1" applyFont="1" applyFill="1" applyBorder="1" applyAlignment="1">
      <alignment horizontal="center"/>
    </xf>
    <xf numFmtId="0" fontId="4" fillId="0" borderId="54" xfId="1" applyNumberFormat="1" applyFont="1" applyFill="1" applyBorder="1" applyAlignment="1">
      <alignment horizontal="center"/>
    </xf>
    <xf numFmtId="0" fontId="4" fillId="0" borderId="55" xfId="1" applyNumberFormat="1" applyFont="1" applyFill="1" applyBorder="1" applyAlignment="1">
      <alignment horizontal="center"/>
    </xf>
    <xf numFmtId="0" fontId="4" fillId="0" borderId="56" xfId="1" applyNumberFormat="1" applyFont="1" applyFill="1" applyBorder="1" applyAlignment="1">
      <alignment horizontal="center"/>
    </xf>
    <xf numFmtId="0" fontId="11" fillId="6" borderId="53" xfId="1" quotePrefix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11" fillId="4" borderId="43" xfId="1" quotePrefix="1" applyNumberFormat="1" applyFont="1" applyFill="1" applyBorder="1" applyAlignment="1">
      <alignment horizontal="center"/>
    </xf>
    <xf numFmtId="0" fontId="4" fillId="0" borderId="44" xfId="1" applyNumberFormat="1" applyFont="1" applyFill="1" applyBorder="1" applyAlignment="1">
      <alignment horizontal="center"/>
    </xf>
    <xf numFmtId="0" fontId="4" fillId="0" borderId="45" xfId="1" applyNumberFormat="1" applyFont="1" applyFill="1" applyBorder="1" applyAlignment="1">
      <alignment horizontal="center"/>
    </xf>
    <xf numFmtId="0" fontId="4" fillId="0" borderId="52" xfId="1" applyNumberFormat="1" applyFont="1" applyFill="1" applyBorder="1" applyAlignment="1">
      <alignment horizontal="center"/>
    </xf>
    <xf numFmtId="0" fontId="11" fillId="6" borderId="43" xfId="1" quotePrefix="1" applyNumberFormat="1" applyFont="1" applyFill="1" applyBorder="1" applyAlignment="1">
      <alignment horizontal="center"/>
    </xf>
    <xf numFmtId="0" fontId="6" fillId="3" borderId="42" xfId="1" applyNumberFormat="1" applyFont="1" applyFill="1" applyBorder="1" applyAlignment="1">
      <alignment horizontal="center"/>
    </xf>
    <xf numFmtId="0" fontId="11" fillId="4" borderId="65" xfId="1" quotePrefix="1" applyNumberFormat="1" applyFont="1" applyFill="1" applyBorder="1" applyAlignment="1">
      <alignment horizontal="center"/>
    </xf>
    <xf numFmtId="0" fontId="4" fillId="0" borderId="66" xfId="1" applyNumberFormat="1" applyFont="1" applyFill="1" applyBorder="1" applyAlignment="1">
      <alignment horizontal="center"/>
    </xf>
    <xf numFmtId="0" fontId="4" fillId="0" borderId="67" xfId="1" applyNumberFormat="1" applyFont="1" applyFill="1" applyBorder="1" applyAlignment="1">
      <alignment horizontal="center"/>
    </xf>
    <xf numFmtId="0" fontId="4" fillId="0" borderId="68" xfId="1" applyNumberFormat="1" applyFont="1" applyFill="1" applyBorder="1" applyAlignment="1">
      <alignment horizontal="center"/>
    </xf>
    <xf numFmtId="0" fontId="11" fillId="6" borderId="65" xfId="1" quotePrefix="1" applyNumberFormat="1" applyFont="1" applyFill="1" applyBorder="1" applyAlignment="1">
      <alignment horizontal="center"/>
    </xf>
    <xf numFmtId="0" fontId="6" fillId="3" borderId="64" xfId="1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0" fontId="6" fillId="11" borderId="13" xfId="1" applyNumberFormat="1" applyFont="1" applyFill="1" applyBorder="1" applyAlignment="1">
      <alignment horizontal="center"/>
    </xf>
    <xf numFmtId="44" fontId="3" fillId="0" borderId="0" xfId="1" applyFont="1" applyFill="1" applyAlignment="1">
      <alignment horizontal="right"/>
    </xf>
    <xf numFmtId="14" fontId="14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6" borderId="23" xfId="0" quotePrefix="1" applyFont="1" applyFill="1" applyBorder="1" applyAlignment="1">
      <alignment horizontal="center"/>
    </xf>
    <xf numFmtId="0" fontId="10" fillId="4" borderId="23" xfId="0" quotePrefix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9" fontId="15" fillId="0" borderId="0" xfId="3" applyNumberForma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center"/>
    </xf>
    <xf numFmtId="42" fontId="9" fillId="2" borderId="1" xfId="1" applyNumberFormat="1" applyFont="1" applyFill="1" applyBorder="1" applyAlignment="1">
      <alignment horizontal="center"/>
    </xf>
    <xf numFmtId="0" fontId="10" fillId="4" borderId="23" xfId="0" quotePrefix="1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10" fillId="6" borderId="23" xfId="0" quotePrefix="1" applyNumberFormat="1" applyFont="1" applyFill="1" applyBorder="1" applyAlignment="1">
      <alignment horizontal="center"/>
    </xf>
    <xf numFmtId="0" fontId="6" fillId="6" borderId="16" xfId="0" applyNumberFormat="1" applyFont="1" applyFill="1" applyBorder="1" applyAlignment="1">
      <alignment horizontal="center"/>
    </xf>
    <xf numFmtId="42" fontId="8" fillId="0" borderId="0" xfId="1" applyNumberFormat="1" applyFont="1" applyFill="1" applyBorder="1" applyAlignment="1">
      <alignment horizontal="left"/>
    </xf>
    <xf numFmtId="42" fontId="9" fillId="0" borderId="0" xfId="1" applyNumberFormat="1" applyFont="1" applyFill="1" applyBorder="1" applyAlignment="1">
      <alignment horizontal="center"/>
    </xf>
    <xf numFmtId="0" fontId="10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2" fontId="18" fillId="0" borderId="0" xfId="0" applyNumberFormat="1" applyFont="1"/>
    <xf numFmtId="44" fontId="18" fillId="0" borderId="0" xfId="1" applyFont="1"/>
    <xf numFmtId="44" fontId="3" fillId="0" borderId="0" xfId="0" applyNumberFormat="1" applyFont="1"/>
    <xf numFmtId="44" fontId="4" fillId="0" borderId="70" xfId="0" applyNumberFormat="1" applyFont="1" applyFill="1" applyBorder="1" applyAlignment="1">
      <alignment horizontal="center"/>
    </xf>
    <xf numFmtId="44" fontId="4" fillId="0" borderId="15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0" fillId="0" borderId="0" xfId="0" applyNumberFormat="1"/>
    <xf numFmtId="44" fontId="6" fillId="3" borderId="16" xfId="1" applyFont="1" applyFill="1" applyBorder="1" applyAlignment="1">
      <alignment horizontal="center"/>
    </xf>
    <xf numFmtId="42" fontId="9" fillId="2" borderId="81" xfId="1" applyNumberFormat="1" applyFont="1" applyFill="1" applyBorder="1" applyAlignment="1">
      <alignment horizontal="center"/>
    </xf>
    <xf numFmtId="0" fontId="10" fillId="4" borderId="53" xfId="0" quotePrefix="1" applyNumberFormat="1" applyFont="1" applyFill="1" applyBorder="1" applyAlignment="1">
      <alignment horizontal="center"/>
    </xf>
    <xf numFmtId="0" fontId="10" fillId="6" borderId="53" xfId="0" quotePrefix="1" applyNumberFormat="1" applyFont="1" applyFill="1" applyBorder="1" applyAlignment="1">
      <alignment horizontal="center"/>
    </xf>
    <xf numFmtId="44" fontId="17" fillId="0" borderId="47" xfId="1" applyFont="1" applyBorder="1"/>
    <xf numFmtId="0" fontId="19" fillId="0" borderId="56" xfId="0" quotePrefix="1" applyFont="1" applyBorder="1" applyAlignment="1">
      <alignment horizontal="center"/>
    </xf>
    <xf numFmtId="44" fontId="11" fillId="0" borderId="18" xfId="1" applyFont="1" applyFill="1" applyBorder="1" applyAlignment="1">
      <alignment horizontal="center"/>
    </xf>
    <xf numFmtId="44" fontId="11" fillId="0" borderId="57" xfId="0" quotePrefix="1" applyNumberFormat="1" applyFont="1" applyFill="1" applyBorder="1" applyAlignment="1">
      <alignment horizontal="center"/>
    </xf>
    <xf numFmtId="0" fontId="11" fillId="0" borderId="23" xfId="0" applyFont="1" applyFill="1" applyBorder="1"/>
    <xf numFmtId="44" fontId="11" fillId="0" borderId="53" xfId="0" applyNumberFormat="1" applyFont="1" applyFill="1" applyBorder="1" applyAlignment="1">
      <alignment horizontal="center"/>
    </xf>
    <xf numFmtId="0" fontId="6" fillId="3" borderId="11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4" borderId="23" xfId="0" quotePrefix="1" applyNumberFormat="1" applyFont="1" applyFill="1" applyBorder="1" applyAlignment="1">
      <alignment horizontal="center"/>
    </xf>
    <xf numFmtId="0" fontId="11" fillId="6" borderId="23" xfId="0" quotePrefix="1" applyNumberFormat="1" applyFont="1" applyFill="1" applyBorder="1" applyAlignment="1">
      <alignment horizontal="center"/>
    </xf>
    <xf numFmtId="0" fontId="4" fillId="0" borderId="70" xfId="0" applyNumberFormat="1" applyFont="1" applyFill="1" applyBorder="1" applyAlignment="1">
      <alignment horizontal="center"/>
    </xf>
    <xf numFmtId="0" fontId="16" fillId="0" borderId="15" xfId="3" applyNumberFormat="1" applyFont="1" applyFill="1" applyBorder="1" applyAlignment="1">
      <alignment horizontal="center"/>
    </xf>
    <xf numFmtId="0" fontId="16" fillId="0" borderId="4" xfId="3" applyNumberFormat="1" applyFont="1" applyFill="1" applyBorder="1" applyAlignment="1">
      <alignment horizontal="center"/>
    </xf>
    <xf numFmtId="9" fontId="16" fillId="0" borderId="4" xfId="3" applyNumberFormat="1" applyFont="1" applyFill="1" applyBorder="1" applyAlignment="1">
      <alignment horizontal="center"/>
    </xf>
    <xf numFmtId="0" fontId="16" fillId="0" borderId="47" xfId="3" applyNumberFormat="1" applyFont="1" applyFill="1" applyBorder="1" applyAlignment="1">
      <alignment horizontal="center"/>
    </xf>
    <xf numFmtId="0" fontId="16" fillId="0" borderId="48" xfId="3" applyNumberFormat="1" applyFont="1" applyFill="1" applyBorder="1" applyAlignment="1">
      <alignment horizontal="center"/>
    </xf>
    <xf numFmtId="9" fontId="16" fillId="0" borderId="48" xfId="3" applyNumberFormat="1" applyFont="1" applyFill="1" applyBorder="1" applyAlignment="1">
      <alignment horizontal="center"/>
    </xf>
    <xf numFmtId="0" fontId="11" fillId="4" borderId="25" xfId="1" quotePrefix="1" applyNumberFormat="1" applyFont="1" applyFill="1" applyBorder="1" applyAlignment="1">
      <alignment horizontal="center"/>
    </xf>
    <xf numFmtId="0" fontId="9" fillId="2" borderId="8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4" fillId="0" borderId="51" xfId="1" applyNumberFormat="1" applyFont="1" applyFill="1" applyBorder="1" applyAlignment="1">
      <alignment horizontal="center"/>
    </xf>
    <xf numFmtId="0" fontId="11" fillId="4" borderId="23" xfId="1" quotePrefix="1" applyNumberFormat="1" applyFont="1" applyFill="1" applyBorder="1" applyAlignment="1">
      <alignment horizontal="center"/>
    </xf>
    <xf numFmtId="0" fontId="4" fillId="0" borderId="70" xfId="1" applyNumberFormat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47" xfId="1" applyNumberFormat="1" applyFont="1" applyFill="1" applyBorder="1" applyAlignment="1">
      <alignment horizontal="center"/>
    </xf>
    <xf numFmtId="0" fontId="11" fillId="6" borderId="23" xfId="1" quotePrefix="1" applyNumberFormat="1" applyFont="1" applyFill="1" applyBorder="1" applyAlignment="1">
      <alignment horizontal="center"/>
    </xf>
    <xf numFmtId="0" fontId="6" fillId="3" borderId="16" xfId="1" applyNumberFormat="1" applyFont="1" applyFill="1" applyBorder="1" applyAlignment="1">
      <alignment horizontal="center"/>
    </xf>
    <xf numFmtId="0" fontId="11" fillId="4" borderId="71" xfId="1" quotePrefix="1" applyNumberFormat="1" applyFont="1" applyFill="1" applyBorder="1" applyAlignment="1">
      <alignment horizontal="center"/>
    </xf>
    <xf numFmtId="0" fontId="4" fillId="0" borderId="72" xfId="1" applyNumberFormat="1" applyFont="1" applyFill="1" applyBorder="1" applyAlignment="1">
      <alignment horizontal="center"/>
    </xf>
    <xf numFmtId="0" fontId="4" fillId="0" borderId="77" xfId="1" applyNumberFormat="1" applyFont="1" applyFill="1" applyBorder="1" applyAlignment="1">
      <alignment horizontal="center"/>
    </xf>
    <xf numFmtId="0" fontId="4" fillId="0" borderId="79" xfId="1" applyNumberFormat="1" applyFont="1" applyFill="1" applyBorder="1" applyAlignment="1">
      <alignment horizontal="center"/>
    </xf>
    <xf numFmtId="0" fontId="11" fillId="6" borderId="71" xfId="1" quotePrefix="1" applyNumberFormat="1" applyFont="1" applyFill="1" applyBorder="1" applyAlignment="1">
      <alignment horizontal="center"/>
    </xf>
    <xf numFmtId="0" fontId="6" fillId="3" borderId="73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9" fillId="2" borderId="34" xfId="1" applyNumberFormat="1" applyFont="1" applyFill="1" applyBorder="1" applyAlignment="1">
      <alignment horizontal="center"/>
    </xf>
    <xf numFmtId="0" fontId="11" fillId="4" borderId="86" xfId="2" quotePrefix="1" applyNumberFormat="1" applyFont="1" applyFill="1" applyBorder="1" applyAlignment="1">
      <alignment horizontal="center"/>
    </xf>
    <xf numFmtId="0" fontId="4" fillId="0" borderId="87" xfId="2" applyNumberFormat="1" applyFont="1" applyFill="1" applyBorder="1" applyAlignment="1">
      <alignment horizontal="center"/>
    </xf>
    <xf numFmtId="0" fontId="4" fillId="0" borderId="88" xfId="2" applyNumberFormat="1" applyFont="1" applyFill="1" applyBorder="1" applyAlignment="1">
      <alignment horizontal="center"/>
    </xf>
    <xf numFmtId="0" fontId="4" fillId="0" borderId="89" xfId="2" applyNumberFormat="1" applyFont="1" applyFill="1" applyBorder="1" applyAlignment="1">
      <alignment horizontal="center"/>
    </xf>
    <xf numFmtId="0" fontId="11" fillId="6" borderId="86" xfId="2" quotePrefix="1" applyNumberFormat="1" applyFont="1" applyFill="1" applyBorder="1" applyAlignment="1">
      <alignment horizontal="center"/>
    </xf>
    <xf numFmtId="0" fontId="6" fillId="3" borderId="12" xfId="2" applyNumberFormat="1" applyFont="1" applyFill="1" applyBorder="1" applyAlignment="1">
      <alignment horizontal="center"/>
    </xf>
    <xf numFmtId="165" fontId="4" fillId="0" borderId="54" xfId="1" applyNumberFormat="1" applyFont="1" applyFill="1" applyBorder="1" applyAlignment="1">
      <alignment horizontal="center"/>
    </xf>
    <xf numFmtId="165" fontId="4" fillId="0" borderId="55" xfId="1" applyNumberFormat="1" applyFont="1" applyFill="1" applyBorder="1" applyAlignment="1">
      <alignment horizontal="center"/>
    </xf>
    <xf numFmtId="165" fontId="4" fillId="0" borderId="56" xfId="1" applyNumberFormat="1" applyFont="1" applyFill="1" applyBorder="1" applyAlignment="1">
      <alignment horizontal="center"/>
    </xf>
    <xf numFmtId="165" fontId="6" fillId="3" borderId="11" xfId="1" applyNumberFormat="1" applyFont="1" applyFill="1" applyBorder="1" applyAlignment="1">
      <alignment horizontal="center"/>
    </xf>
    <xf numFmtId="10" fontId="4" fillId="0" borderId="67" xfId="2" applyNumberFormat="1" applyFont="1" applyFill="1" applyBorder="1" applyAlignment="1">
      <alignment horizontal="center"/>
    </xf>
    <xf numFmtId="10" fontId="4" fillId="0" borderId="68" xfId="2" applyNumberFormat="1" applyFont="1" applyFill="1" applyBorder="1" applyAlignment="1">
      <alignment horizontal="center"/>
    </xf>
    <xf numFmtId="10" fontId="6" fillId="3" borderId="7" xfId="2" applyNumberFormat="1" applyFont="1" applyFill="1" applyBorder="1" applyAlignment="1">
      <alignment horizontal="center"/>
    </xf>
    <xf numFmtId="0" fontId="11" fillId="4" borderId="74" xfId="1" quotePrefix="1" applyNumberFormat="1" applyFont="1" applyFill="1" applyBorder="1" applyAlignment="1">
      <alignment horizontal="center"/>
    </xf>
    <xf numFmtId="0" fontId="11" fillId="6" borderId="74" xfId="1" quotePrefix="1" applyNumberFormat="1" applyFont="1" applyFill="1" applyBorder="1" applyAlignment="1">
      <alignment horizontal="center"/>
    </xf>
    <xf numFmtId="10" fontId="4" fillId="0" borderId="75" xfId="1" applyNumberFormat="1" applyFont="1" applyFill="1" applyBorder="1" applyAlignment="1">
      <alignment horizontal="center"/>
    </xf>
    <xf numFmtId="10" fontId="4" fillId="0" borderId="78" xfId="1" applyNumberFormat="1" applyFont="1" applyFill="1" applyBorder="1" applyAlignment="1">
      <alignment horizontal="center"/>
    </xf>
    <xf numFmtId="10" fontId="4" fillId="0" borderId="80" xfId="1" applyNumberFormat="1" applyFont="1" applyFill="1" applyBorder="1" applyAlignment="1">
      <alignment horizontal="center"/>
    </xf>
    <xf numFmtId="10" fontId="6" fillId="3" borderId="76" xfId="1" applyNumberFormat="1" applyFont="1" applyFill="1" applyBorder="1" applyAlignment="1">
      <alignment horizontal="center"/>
    </xf>
    <xf numFmtId="0" fontId="4" fillId="0" borderId="91" xfId="1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2" fontId="4" fillId="0" borderId="66" xfId="1" applyNumberFormat="1" applyFont="1" applyFill="1" applyBorder="1" applyAlignment="1">
      <alignment horizontal="center"/>
    </xf>
    <xf numFmtId="2" fontId="4" fillId="0" borderId="67" xfId="1" applyNumberFormat="1" applyFont="1" applyFill="1" applyBorder="1" applyAlignment="1">
      <alignment horizontal="center"/>
    </xf>
    <xf numFmtId="2" fontId="4" fillId="0" borderId="68" xfId="1" applyNumberFormat="1" applyFont="1" applyFill="1" applyBorder="1" applyAlignment="1">
      <alignment horizontal="center"/>
    </xf>
    <xf numFmtId="0" fontId="6" fillId="3" borderId="64" xfId="1" quotePrefix="1" applyNumberFormat="1" applyFont="1" applyFill="1" applyBorder="1" applyAlignment="1">
      <alignment horizontal="center"/>
    </xf>
    <xf numFmtId="0" fontId="6" fillId="3" borderId="13" xfId="1" quotePrefix="1" applyNumberFormat="1" applyFont="1" applyFill="1" applyBorder="1" applyAlignment="1">
      <alignment horizontal="center"/>
    </xf>
    <xf numFmtId="42" fontId="9" fillId="2" borderId="40" xfId="1" applyNumberFormat="1" applyFont="1" applyFill="1" applyBorder="1" applyAlignment="1">
      <alignment horizontal="center"/>
    </xf>
    <xf numFmtId="0" fontId="10" fillId="4" borderId="29" xfId="0" quotePrefix="1" applyNumberFormat="1" applyFont="1" applyFill="1" applyBorder="1" applyAlignment="1">
      <alignment horizontal="center"/>
    </xf>
    <xf numFmtId="0" fontId="10" fillId="6" borderId="29" xfId="0" quotePrefix="1" applyNumberFormat="1" applyFont="1" applyFill="1" applyBorder="1" applyAlignment="1">
      <alignment horizontal="center"/>
    </xf>
    <xf numFmtId="167" fontId="4" fillId="0" borderId="66" xfId="1" applyNumberFormat="1" applyFont="1" applyFill="1" applyBorder="1" applyAlignment="1">
      <alignment horizontal="center"/>
    </xf>
    <xf numFmtId="167" fontId="4" fillId="0" borderId="67" xfId="1" applyNumberFormat="1" applyFont="1" applyFill="1" applyBorder="1" applyAlignment="1">
      <alignment horizontal="center"/>
    </xf>
    <xf numFmtId="167" fontId="4" fillId="0" borderId="68" xfId="1" applyNumberFormat="1" applyFont="1" applyFill="1" applyBorder="1" applyAlignment="1">
      <alignment horizontal="center"/>
    </xf>
    <xf numFmtId="167" fontId="6" fillId="3" borderId="64" xfId="1" quotePrefix="1" applyNumberFormat="1" applyFont="1" applyFill="1" applyBorder="1" applyAlignment="1">
      <alignment horizontal="center"/>
    </xf>
    <xf numFmtId="0" fontId="10" fillId="4" borderId="53" xfId="0" applyFont="1" applyFill="1" applyBorder="1"/>
    <xf numFmtId="0" fontId="4" fillId="0" borderId="57" xfId="0" applyFont="1" applyBorder="1"/>
    <xf numFmtId="0" fontId="4" fillId="0" borderId="55" xfId="0" applyFont="1" applyBorder="1"/>
    <xf numFmtId="0" fontId="4" fillId="0" borderId="56" xfId="0" applyFont="1" applyBorder="1"/>
    <xf numFmtId="0" fontId="10" fillId="6" borderId="53" xfId="0" applyFont="1" applyFill="1" applyBorder="1"/>
    <xf numFmtId="42" fontId="11" fillId="4" borderId="95" xfId="1" quotePrefix="1" applyNumberFormat="1" applyFont="1" applyFill="1" applyBorder="1" applyAlignment="1">
      <alignment horizontal="center"/>
    </xf>
    <xf numFmtId="42" fontId="11" fillId="6" borderId="95" xfId="1" quotePrefix="1" applyNumberFormat="1" applyFont="1" applyFill="1" applyBorder="1" applyAlignment="1">
      <alignment horizontal="center"/>
    </xf>
    <xf numFmtId="42" fontId="8" fillId="2" borderId="3" xfId="1" applyNumberFormat="1" applyFont="1" applyFill="1" applyBorder="1" applyAlignment="1">
      <alignment horizontal="center"/>
    </xf>
    <xf numFmtId="42" fontId="11" fillId="4" borderId="24" xfId="1" quotePrefix="1" applyNumberFormat="1" applyFont="1" applyFill="1" applyBorder="1" applyAlignment="1">
      <alignment horizontal="center"/>
    </xf>
    <xf numFmtId="42" fontId="11" fillId="6" borderId="24" xfId="1" quotePrefix="1" applyNumberFormat="1" applyFont="1" applyFill="1" applyBorder="1" applyAlignment="1">
      <alignment horizontal="center"/>
    </xf>
    <xf numFmtId="42" fontId="8" fillId="2" borderId="85" xfId="1" applyNumberFormat="1" applyFont="1" applyFill="1" applyBorder="1" applyAlignment="1">
      <alignment horizontal="center"/>
    </xf>
    <xf numFmtId="42" fontId="11" fillId="6" borderId="27" xfId="1" quotePrefix="1" applyNumberFormat="1" applyFont="1" applyFill="1" applyBorder="1" applyAlignment="1">
      <alignment horizontal="center"/>
    </xf>
    <xf numFmtId="42" fontId="11" fillId="4" borderId="27" xfId="1" quotePrefix="1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44" fontId="4" fillId="0" borderId="96" xfId="1" applyNumberFormat="1" applyFont="1" applyFill="1" applyBorder="1" applyAlignment="1">
      <alignment horizontal="center"/>
    </xf>
    <xf numFmtId="44" fontId="4" fillId="0" borderId="19" xfId="1" applyNumberFormat="1" applyFont="1" applyFill="1" applyBorder="1" applyAlignment="1">
      <alignment horizontal="center"/>
    </xf>
    <xf numFmtId="44" fontId="16" fillId="0" borderId="97" xfId="3" applyNumberFormat="1" applyFont="1" applyFill="1" applyBorder="1" applyAlignment="1">
      <alignment horizontal="center"/>
    </xf>
    <xf numFmtId="44" fontId="16" fillId="0" borderId="4" xfId="3" applyNumberFormat="1" applyFont="1" applyFill="1" applyBorder="1" applyAlignment="1">
      <alignment horizontal="center"/>
    </xf>
    <xf numFmtId="44" fontId="16" fillId="0" borderId="98" xfId="3" applyNumberFormat="1" applyFont="1" applyFill="1" applyBorder="1" applyAlignment="1">
      <alignment horizontal="center"/>
    </xf>
    <xf numFmtId="44" fontId="16" fillId="0" borderId="48" xfId="3" applyNumberFormat="1" applyFont="1" applyFill="1" applyBorder="1" applyAlignment="1">
      <alignment horizontal="center"/>
    </xf>
    <xf numFmtId="44" fontId="4" fillId="0" borderId="97" xfId="1" applyNumberFormat="1" applyFont="1" applyFill="1" applyBorder="1" applyAlignment="1">
      <alignment horizontal="center"/>
    </xf>
    <xf numFmtId="44" fontId="4" fillId="0" borderId="4" xfId="1" applyNumberFormat="1" applyFont="1" applyFill="1" applyBorder="1" applyAlignment="1">
      <alignment horizontal="center"/>
    </xf>
    <xf numFmtId="44" fontId="4" fillId="0" borderId="98" xfId="1" applyNumberFormat="1" applyFont="1" applyFill="1" applyBorder="1" applyAlignment="1">
      <alignment horizontal="center"/>
    </xf>
    <xf numFmtId="44" fontId="4" fillId="0" borderId="48" xfId="1" applyNumberFormat="1" applyFont="1" applyFill="1" applyBorder="1" applyAlignment="1">
      <alignment horizontal="center"/>
    </xf>
    <xf numFmtId="44" fontId="17" fillId="0" borderId="63" xfId="0" applyNumberFormat="1" applyFont="1" applyBorder="1"/>
    <xf numFmtId="44" fontId="17" fillId="0" borderId="48" xfId="1" applyFont="1" applyBorder="1"/>
    <xf numFmtId="44" fontId="17" fillId="0" borderId="50" xfId="1" applyFont="1" applyBorder="1"/>
    <xf numFmtId="44" fontId="17" fillId="0" borderId="60" xfId="0" applyNumberFormat="1" applyFont="1" applyBorder="1"/>
    <xf numFmtId="44" fontId="17" fillId="0" borderId="24" xfId="0" applyNumberFormat="1" applyFont="1" applyBorder="1"/>
    <xf numFmtId="44" fontId="17" fillId="0" borderId="27" xfId="0" applyNumberFormat="1" applyFont="1" applyBorder="1"/>
    <xf numFmtId="44" fontId="6" fillId="3" borderId="13" xfId="1" applyNumberFormat="1" applyFont="1" applyFill="1" applyBorder="1" applyAlignment="1">
      <alignment horizontal="center"/>
    </xf>
    <xf numFmtId="44" fontId="17" fillId="0" borderId="61" xfId="0" applyNumberFormat="1" applyFont="1" applyBorder="1"/>
    <xf numFmtId="44" fontId="17" fillId="0" borderId="19" xfId="0" applyNumberFormat="1" applyFont="1" applyBorder="1"/>
    <xf numFmtId="44" fontId="17" fillId="0" borderId="22" xfId="0" applyNumberFormat="1" applyFont="1" applyBorder="1"/>
    <xf numFmtId="44" fontId="6" fillId="10" borderId="22" xfId="1" applyNumberFormat="1" applyFont="1" applyFill="1" applyBorder="1" applyAlignment="1">
      <alignment horizontal="center"/>
    </xf>
    <xf numFmtId="44" fontId="21" fillId="10" borderId="14" xfId="3" applyNumberFormat="1" applyFont="1" applyFill="1" applyBorder="1" applyAlignment="1">
      <alignment horizontal="center"/>
    </xf>
    <xf numFmtId="44" fontId="21" fillId="10" borderId="50" xfId="3" applyNumberFormat="1" applyFont="1" applyFill="1" applyBorder="1" applyAlignment="1">
      <alignment horizontal="center"/>
    </xf>
    <xf numFmtId="44" fontId="6" fillId="12" borderId="22" xfId="1" applyNumberFormat="1" applyFont="1" applyFill="1" applyBorder="1" applyAlignment="1">
      <alignment horizontal="center"/>
    </xf>
    <xf numFmtId="44" fontId="6" fillId="12" borderId="14" xfId="1" applyNumberFormat="1" applyFont="1" applyFill="1" applyBorder="1" applyAlignment="1">
      <alignment horizontal="center"/>
    </xf>
    <xf numFmtId="44" fontId="6" fillId="12" borderId="50" xfId="1" applyNumberFormat="1" applyFont="1" applyFill="1" applyBorder="1" applyAlignment="1">
      <alignment horizontal="center"/>
    </xf>
    <xf numFmtId="44" fontId="11" fillId="0" borderId="38" xfId="1" applyFont="1" applyFill="1" applyBorder="1" applyAlignment="1">
      <alignment horizontal="center"/>
    </xf>
    <xf numFmtId="44" fontId="11" fillId="0" borderId="37" xfId="1" applyFont="1" applyFill="1" applyBorder="1" applyAlignment="1">
      <alignment horizontal="center"/>
    </xf>
    <xf numFmtId="44" fontId="11" fillId="0" borderId="0" xfId="1" applyFont="1" applyFill="1" applyBorder="1" applyAlignment="1">
      <alignment horizontal="center"/>
    </xf>
    <xf numFmtId="44" fontId="11" fillId="0" borderId="32" xfId="1" applyFont="1" applyFill="1" applyBorder="1" applyAlignment="1">
      <alignment horizontal="center"/>
    </xf>
    <xf numFmtId="44" fontId="17" fillId="0" borderId="0" xfId="1" applyFont="1" applyBorder="1"/>
    <xf numFmtId="44" fontId="17" fillId="0" borderId="32" xfId="1" applyFont="1" applyBorder="1"/>
    <xf numFmtId="0" fontId="9" fillId="2" borderId="3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44" fontId="4" fillId="0" borderId="54" xfId="0" applyNumberFormat="1" applyFont="1" applyFill="1" applyBorder="1" applyAlignment="1">
      <alignment horizontal="center"/>
    </xf>
    <xf numFmtId="44" fontId="4" fillId="0" borderId="55" xfId="1" applyFont="1" applyFill="1" applyBorder="1" applyAlignment="1">
      <alignment horizontal="center"/>
    </xf>
    <xf numFmtId="44" fontId="4" fillId="0" borderId="81" xfId="1" applyFont="1" applyFill="1" applyBorder="1" applyAlignment="1">
      <alignment horizontal="center"/>
    </xf>
    <xf numFmtId="44" fontId="6" fillId="10" borderId="93" xfId="0" applyNumberFormat="1" applyFont="1" applyFill="1" applyBorder="1" applyAlignment="1">
      <alignment horizontal="center"/>
    </xf>
    <xf numFmtId="44" fontId="6" fillId="10" borderId="31" xfId="1" applyFont="1" applyFill="1" applyBorder="1" applyAlignment="1">
      <alignment horizontal="center"/>
    </xf>
    <xf numFmtId="44" fontId="6" fillId="10" borderId="40" xfId="1" applyFont="1" applyFill="1" applyBorder="1" applyAlignment="1">
      <alignment horizontal="center"/>
    </xf>
    <xf numFmtId="44" fontId="6" fillId="12" borderId="93" xfId="0" applyNumberFormat="1" applyFont="1" applyFill="1" applyBorder="1" applyAlignment="1">
      <alignment horizontal="center"/>
    </xf>
    <xf numFmtId="44" fontId="6" fillId="12" borderId="31" xfId="1" applyFont="1" applyFill="1" applyBorder="1" applyAlignment="1">
      <alignment horizontal="center"/>
    </xf>
    <xf numFmtId="44" fontId="6" fillId="12" borderId="40" xfId="1" applyFont="1" applyFill="1" applyBorder="1" applyAlignment="1">
      <alignment horizontal="center"/>
    </xf>
    <xf numFmtId="44" fontId="6" fillId="3" borderId="92" xfId="0" quotePrefix="1" applyNumberFormat="1" applyFont="1" applyFill="1" applyBorder="1" applyAlignment="1">
      <alignment horizontal="center"/>
    </xf>
    <xf numFmtId="44" fontId="6" fillId="14" borderId="29" xfId="0" applyNumberFormat="1" applyFont="1" applyFill="1" applyBorder="1" applyAlignment="1">
      <alignment horizontal="center"/>
    </xf>
    <xf numFmtId="44" fontId="6" fillId="14" borderId="30" xfId="0" applyNumberFormat="1" applyFont="1" applyFill="1" applyBorder="1" applyAlignment="1">
      <alignment horizontal="center"/>
    </xf>
    <xf numFmtId="44" fontId="21" fillId="14" borderId="41" xfId="1" applyFont="1" applyFill="1" applyBorder="1"/>
    <xf numFmtId="167" fontId="6" fillId="0" borderId="32" xfId="1" applyNumberFormat="1" applyFont="1" applyFill="1" applyBorder="1" applyAlignment="1">
      <alignment horizontal="center"/>
    </xf>
    <xf numFmtId="167" fontId="6" fillId="0" borderId="14" xfId="1" applyNumberFormat="1" applyFont="1" applyFill="1" applyBorder="1" applyAlignment="1">
      <alignment horizontal="center"/>
    </xf>
    <xf numFmtId="167" fontId="6" fillId="0" borderId="50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4" fillId="0" borderId="2" xfId="0" applyNumberFormat="1" applyFont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48" xfId="1" applyNumberFormat="1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1" fillId="4" borderId="29" xfId="1" quotePrefix="1" applyNumberFormat="1" applyFont="1" applyFill="1" applyBorder="1" applyAlignment="1">
      <alignment horizontal="center"/>
    </xf>
    <xf numFmtId="1" fontId="4" fillId="0" borderId="70" xfId="1" applyNumberFormat="1" applyFont="1" applyFill="1" applyBorder="1" applyAlignment="1">
      <alignment horizontal="center"/>
    </xf>
    <xf numFmtId="2" fontId="4" fillId="0" borderId="70" xfId="1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/>
    </xf>
    <xf numFmtId="2" fontId="4" fillId="0" borderId="15" xfId="1" applyNumberFormat="1" applyFont="1" applyFill="1" applyBorder="1" applyAlignment="1">
      <alignment horizontal="center"/>
    </xf>
    <xf numFmtId="1" fontId="4" fillId="0" borderId="47" xfId="1" applyNumberFormat="1" applyFont="1" applyFill="1" applyBorder="1" applyAlignment="1">
      <alignment horizontal="center"/>
    </xf>
    <xf numFmtId="2" fontId="4" fillId="0" borderId="47" xfId="1" applyNumberFormat="1" applyFont="1" applyFill="1" applyBorder="1" applyAlignment="1">
      <alignment horizontal="center"/>
    </xf>
    <xf numFmtId="1" fontId="11" fillId="6" borderId="23" xfId="1" quotePrefix="1" applyNumberFormat="1" applyFont="1" applyFill="1" applyBorder="1" applyAlignment="1">
      <alignment horizontal="center"/>
    </xf>
    <xf numFmtId="2" fontId="11" fillId="6" borderId="23" xfId="1" quotePrefix="1" applyNumberFormat="1" applyFont="1" applyFill="1" applyBorder="1" applyAlignment="1">
      <alignment horizontal="center"/>
    </xf>
    <xf numFmtId="1" fontId="6" fillId="3" borderId="16" xfId="1" applyNumberFormat="1" applyFont="1" applyFill="1" applyBorder="1" applyAlignment="1">
      <alignment horizontal="center"/>
    </xf>
    <xf numFmtId="2" fontId="6" fillId="3" borderId="16" xfId="1" applyNumberFormat="1" applyFont="1" applyFill="1" applyBorder="1" applyAlignment="1">
      <alignment horizontal="center"/>
    </xf>
    <xf numFmtId="0" fontId="6" fillId="2" borderId="0" xfId="0" applyFont="1" applyFill="1" applyBorder="1"/>
    <xf numFmtId="0" fontId="10" fillId="4" borderId="25" xfId="0" quotePrefix="1" applyNumberFormat="1" applyFont="1" applyFill="1" applyBorder="1" applyAlignment="1">
      <alignment horizontal="center"/>
    </xf>
    <xf numFmtId="168" fontId="4" fillId="0" borderId="70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69" fontId="4" fillId="0" borderId="54" xfId="0" applyNumberFormat="1" applyFont="1" applyFill="1" applyBorder="1" applyAlignment="1">
      <alignment horizontal="center"/>
    </xf>
    <xf numFmtId="166" fontId="4" fillId="0" borderId="93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168" fontId="4" fillId="0" borderId="15" xfId="1" applyNumberFormat="1" applyFont="1" applyFill="1" applyBorder="1" applyAlignment="1">
      <alignment horizontal="center"/>
    </xf>
    <xf numFmtId="10" fontId="4" fillId="0" borderId="9" xfId="1" applyNumberFormat="1" applyFont="1" applyFill="1" applyBorder="1" applyAlignment="1">
      <alignment horizontal="center"/>
    </xf>
    <xf numFmtId="169" fontId="4" fillId="0" borderId="55" xfId="1" applyNumberFormat="1" applyFont="1" applyFill="1" applyBorder="1" applyAlignment="1">
      <alignment horizontal="center"/>
    </xf>
    <xf numFmtId="166" fontId="4" fillId="0" borderId="31" xfId="1" applyNumberFormat="1" applyFont="1" applyFill="1" applyBorder="1" applyAlignment="1">
      <alignment horizontal="center"/>
    </xf>
    <xf numFmtId="44" fontId="4" fillId="0" borderId="6" xfId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0" fontId="4" fillId="0" borderId="84" xfId="1" applyNumberFormat="1" applyFont="1" applyFill="1" applyBorder="1" applyAlignment="1">
      <alignment horizontal="center"/>
    </xf>
    <xf numFmtId="169" fontId="4" fillId="0" borderId="81" xfId="1" applyNumberFormat="1" applyFont="1" applyFill="1" applyBorder="1" applyAlignment="1">
      <alignment horizontal="center"/>
    </xf>
    <xf numFmtId="166" fontId="4" fillId="0" borderId="40" xfId="1" applyNumberFormat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11" fillId="0" borderId="20" xfId="1" applyFont="1" applyFill="1" applyBorder="1" applyAlignment="1">
      <alignment horizontal="center"/>
    </xf>
    <xf numFmtId="44" fontId="17" fillId="0" borderId="47" xfId="1" applyFont="1" applyFill="1" applyBorder="1"/>
    <xf numFmtId="0" fontId="19" fillId="0" borderId="56" xfId="0" quotePrefix="1" applyFont="1" applyFill="1" applyBorder="1" applyAlignment="1">
      <alignment horizontal="center"/>
    </xf>
    <xf numFmtId="168" fontId="6" fillId="3" borderId="16" xfId="1" applyNumberFormat="1" applyFont="1" applyFill="1" applyBorder="1" applyAlignment="1">
      <alignment horizontal="center"/>
    </xf>
    <xf numFmtId="44" fontId="6" fillId="3" borderId="10" xfId="1" quotePrefix="1" applyFont="1" applyFill="1" applyBorder="1" applyAlignment="1">
      <alignment horizontal="center"/>
    </xf>
    <xf numFmtId="169" fontId="6" fillId="3" borderId="11" xfId="1" applyNumberFormat="1" applyFont="1" applyFill="1" applyBorder="1" applyAlignment="1">
      <alignment horizontal="center"/>
    </xf>
    <xf numFmtId="166" fontId="6" fillId="3" borderId="92" xfId="1" applyNumberFormat="1" applyFont="1" applyFill="1" applyBorder="1" applyAlignment="1">
      <alignment horizontal="center"/>
    </xf>
    <xf numFmtId="44" fontId="6" fillId="3" borderId="7" xfId="1" applyFont="1" applyFill="1" applyBorder="1" applyAlignment="1">
      <alignment horizontal="center"/>
    </xf>
    <xf numFmtId="0" fontId="10" fillId="6" borderId="25" xfId="0" quotePrefix="1" applyNumberFormat="1" applyFont="1" applyFill="1" applyBorder="1" applyAlignment="1">
      <alignment horizontal="center"/>
    </xf>
    <xf numFmtId="44" fontId="4" fillId="0" borderId="55" xfId="0" applyNumberFormat="1" applyFont="1" applyFill="1" applyBorder="1" applyAlignment="1">
      <alignment horizontal="center"/>
    </xf>
    <xf numFmtId="44" fontId="4" fillId="0" borderId="81" xfId="0" applyNumberFormat="1" applyFont="1" applyFill="1" applyBorder="1" applyAlignment="1">
      <alignment horizontal="center"/>
    </xf>
    <xf numFmtId="0" fontId="4" fillId="0" borderId="0" xfId="0" applyFont="1" applyFill="1"/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1" fontId="11" fillId="4" borderId="23" xfId="1" quotePrefix="1" applyNumberFormat="1" applyFont="1" applyFill="1" applyBorder="1" applyAlignment="1">
      <alignment horizontal="center"/>
    </xf>
    <xf numFmtId="0" fontId="14" fillId="0" borderId="0" xfId="0" applyFont="1"/>
    <xf numFmtId="0" fontId="11" fillId="6" borderId="26" xfId="1" quotePrefix="1" applyNumberFormat="1" applyFont="1" applyFill="1" applyBorder="1" applyAlignment="1">
      <alignment horizontal="center"/>
    </xf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0" fontId="4" fillId="0" borderId="90" xfId="2" applyNumberFormat="1" applyFont="1" applyFill="1" applyBorder="1" applyAlignment="1">
      <alignment horizontal="center"/>
    </xf>
    <xf numFmtId="0" fontId="4" fillId="0" borderId="57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10" fillId="7" borderId="23" xfId="0" quotePrefix="1" applyFont="1" applyFill="1" applyBorder="1" applyAlignment="1">
      <alignment horizontal="center"/>
    </xf>
    <xf numFmtId="0" fontId="10" fillId="7" borderId="53" xfId="0" applyFont="1" applyFill="1" applyBorder="1"/>
    <xf numFmtId="9" fontId="11" fillId="0" borderId="0" xfId="2" applyFont="1" applyFill="1" applyBorder="1" applyAlignment="1">
      <alignment horizontal="center"/>
    </xf>
    <xf numFmtId="44" fontId="11" fillId="7" borderId="23" xfId="0" quotePrefix="1" applyNumberFormat="1" applyFont="1" applyFill="1" applyBorder="1" applyAlignment="1">
      <alignment horizontal="center"/>
    </xf>
    <xf numFmtId="44" fontId="11" fillId="7" borderId="26" xfId="0" quotePrefix="1" applyNumberFormat="1" applyFont="1" applyFill="1" applyBorder="1" applyAlignment="1">
      <alignment horizontal="center"/>
    </xf>
    <xf numFmtId="44" fontId="11" fillId="7" borderId="53" xfId="0" quotePrefix="1" applyNumberFormat="1" applyFont="1" applyFill="1" applyBorder="1" applyAlignment="1">
      <alignment horizontal="center"/>
    </xf>
    <xf numFmtId="44" fontId="11" fillId="7" borderId="29" xfId="0" quotePrefix="1" applyNumberFormat="1" applyFont="1" applyFill="1" applyBorder="1" applyAlignment="1">
      <alignment horizontal="center"/>
    </xf>
    <xf numFmtId="44" fontId="11" fillId="7" borderId="25" xfId="0" quotePrefix="1" applyNumberFormat="1" applyFont="1" applyFill="1" applyBorder="1" applyAlignment="1">
      <alignment horizontal="center"/>
    </xf>
    <xf numFmtId="44" fontId="10" fillId="7" borderId="53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7" borderId="23" xfId="0" applyNumberFormat="1" applyFont="1" applyFill="1" applyBorder="1" applyAlignment="1">
      <alignment horizontal="center"/>
    </xf>
    <xf numFmtId="0" fontId="10" fillId="7" borderId="26" xfId="0" applyNumberFormat="1" applyFont="1" applyFill="1" applyBorder="1" applyAlignment="1">
      <alignment horizontal="center"/>
    </xf>
    <xf numFmtId="0" fontId="10" fillId="7" borderId="27" xfId="1" applyNumberFormat="1" applyFont="1" applyFill="1" applyBorder="1" applyAlignment="1">
      <alignment horizontal="center"/>
    </xf>
    <xf numFmtId="0" fontId="11" fillId="7" borderId="43" xfId="2" quotePrefix="1" applyNumberFormat="1" applyFont="1" applyFill="1" applyBorder="1" applyAlignment="1">
      <alignment horizontal="center"/>
    </xf>
    <xf numFmtId="0" fontId="11" fillId="7" borderId="53" xfId="0" applyNumberFormat="1" applyFont="1" applyFill="1" applyBorder="1" applyAlignment="1">
      <alignment horizontal="center"/>
    </xf>
    <xf numFmtId="0" fontId="11" fillId="7" borderId="24" xfId="1" applyNumberFormat="1" applyFont="1" applyFill="1" applyBorder="1" applyAlignment="1">
      <alignment horizontal="center"/>
    </xf>
    <xf numFmtId="0" fontId="11" fillId="7" borderId="23" xfId="1" quotePrefix="1" applyNumberFormat="1" applyFont="1" applyFill="1" applyBorder="1" applyAlignment="1">
      <alignment horizontal="center"/>
    </xf>
    <xf numFmtId="0" fontId="11" fillId="7" borderId="71" xfId="1" quotePrefix="1" applyNumberFormat="1" applyFont="1" applyFill="1" applyBorder="1" applyAlignment="1">
      <alignment horizontal="center"/>
    </xf>
    <xf numFmtId="164" fontId="11" fillId="7" borderId="25" xfId="1" quotePrefix="1" applyNumberFormat="1" applyFont="1" applyFill="1" applyBorder="1" applyAlignment="1">
      <alignment horizontal="center"/>
    </xf>
    <xf numFmtId="165" fontId="11" fillId="7" borderId="24" xfId="1" quotePrefix="1" applyNumberFormat="1" applyFont="1" applyFill="1" applyBorder="1" applyAlignment="1">
      <alignment horizontal="center"/>
    </xf>
    <xf numFmtId="165" fontId="11" fillId="7" borderId="53" xfId="1" quotePrefix="1" applyNumberFormat="1" applyFont="1" applyFill="1" applyBorder="1" applyAlignment="1">
      <alignment horizontal="center"/>
    </xf>
    <xf numFmtId="0" fontId="11" fillId="7" borderId="65" xfId="1" quotePrefix="1" applyNumberFormat="1" applyFont="1" applyFill="1" applyBorder="1" applyAlignment="1">
      <alignment horizontal="center"/>
    </xf>
    <xf numFmtId="0" fontId="11" fillId="7" borderId="27" xfId="1" quotePrefix="1" applyNumberFormat="1" applyFont="1" applyFill="1" applyBorder="1" applyAlignment="1">
      <alignment horizontal="center"/>
    </xf>
    <xf numFmtId="0" fontId="11" fillId="7" borderId="86" xfId="2" quotePrefix="1" applyNumberFormat="1" applyFont="1" applyFill="1" applyBorder="1" applyAlignment="1">
      <alignment horizontal="center"/>
    </xf>
    <xf numFmtId="10" fontId="11" fillId="7" borderId="65" xfId="2" quotePrefix="1" applyNumberFormat="1" applyFont="1" applyFill="1" applyBorder="1" applyAlignment="1">
      <alignment horizontal="center"/>
    </xf>
    <xf numFmtId="0" fontId="11" fillId="7" borderId="43" xfId="1" quotePrefix="1" applyNumberFormat="1" applyFont="1" applyFill="1" applyBorder="1" applyAlignment="1">
      <alignment horizontal="center"/>
    </xf>
    <xf numFmtId="0" fontId="11" fillId="7" borderId="53" xfId="1" quotePrefix="1" applyNumberFormat="1" applyFont="1" applyFill="1" applyBorder="1" applyAlignment="1">
      <alignment horizontal="center"/>
    </xf>
    <xf numFmtId="1" fontId="11" fillId="7" borderId="23" xfId="1" quotePrefix="1" applyNumberFormat="1" applyFont="1" applyFill="1" applyBorder="1" applyAlignment="1">
      <alignment horizontal="center"/>
    </xf>
    <xf numFmtId="2" fontId="11" fillId="7" borderId="23" xfId="1" quotePrefix="1" applyNumberFormat="1" applyFont="1" applyFill="1" applyBorder="1" applyAlignment="1">
      <alignment horizontal="center"/>
    </xf>
    <xf numFmtId="0" fontId="11" fillId="7" borderId="60" xfId="1" quotePrefix="1" applyNumberFormat="1" applyFont="1" applyFill="1" applyBorder="1" applyAlignment="1">
      <alignment horizontal="center"/>
    </xf>
    <xf numFmtId="10" fontId="11" fillId="7" borderId="74" xfId="1" quotePrefix="1" applyNumberFormat="1" applyFont="1" applyFill="1" applyBorder="1" applyAlignment="1">
      <alignment horizontal="center"/>
    </xf>
    <xf numFmtId="0" fontId="11" fillId="0" borderId="0" xfId="0" applyFont="1"/>
    <xf numFmtId="0" fontId="10" fillId="5" borderId="23" xfId="0" quotePrefix="1" applyFont="1" applyFill="1" applyBorder="1" applyAlignment="1">
      <alignment horizontal="center"/>
    </xf>
    <xf numFmtId="0" fontId="10" fillId="5" borderId="53" xfId="0" applyFont="1" applyFill="1" applyBorder="1"/>
    <xf numFmtId="44" fontId="11" fillId="5" borderId="23" xfId="0" quotePrefix="1" applyNumberFormat="1" applyFont="1" applyFill="1" applyBorder="1" applyAlignment="1">
      <alignment horizontal="center"/>
    </xf>
    <xf numFmtId="44" fontId="11" fillId="5" borderId="26" xfId="0" quotePrefix="1" applyNumberFormat="1" applyFont="1" applyFill="1" applyBorder="1" applyAlignment="1">
      <alignment horizontal="center"/>
    </xf>
    <xf numFmtId="44" fontId="11" fillId="5" borderId="53" xfId="0" quotePrefix="1" applyNumberFormat="1" applyFont="1" applyFill="1" applyBorder="1" applyAlignment="1">
      <alignment horizontal="center"/>
    </xf>
    <xf numFmtId="44" fontId="11" fillId="5" borderId="29" xfId="0" quotePrefix="1" applyNumberFormat="1" applyFont="1" applyFill="1" applyBorder="1" applyAlignment="1">
      <alignment horizontal="center"/>
    </xf>
    <xf numFmtId="44" fontId="11" fillId="5" borderId="25" xfId="0" quotePrefix="1" applyNumberFormat="1" applyFont="1" applyFill="1" applyBorder="1" applyAlignment="1">
      <alignment horizontal="center"/>
    </xf>
    <xf numFmtId="44" fontId="10" fillId="5" borderId="53" xfId="0" quotePrefix="1" applyNumberFormat="1" applyFont="1" applyFill="1" applyBorder="1" applyAlignment="1">
      <alignment horizontal="center"/>
    </xf>
    <xf numFmtId="0" fontId="10" fillId="5" borderId="23" xfId="0" applyNumberFormat="1" applyFont="1" applyFill="1" applyBorder="1" applyAlignment="1">
      <alignment horizontal="center"/>
    </xf>
    <xf numFmtId="0" fontId="10" fillId="5" borderId="26" xfId="0" applyNumberFormat="1" applyFont="1" applyFill="1" applyBorder="1" applyAlignment="1">
      <alignment horizontal="center"/>
    </xf>
    <xf numFmtId="0" fontId="10" fillId="5" borderId="27" xfId="1" applyNumberFormat="1" applyFont="1" applyFill="1" applyBorder="1" applyAlignment="1">
      <alignment horizontal="center"/>
    </xf>
    <xf numFmtId="0" fontId="11" fillId="5" borderId="43" xfId="2" quotePrefix="1" applyNumberFormat="1" applyFont="1" applyFill="1" applyBorder="1" applyAlignment="1">
      <alignment horizontal="center"/>
    </xf>
    <xf numFmtId="0" fontId="11" fillId="5" borderId="53" xfId="0" applyNumberFormat="1" applyFont="1" applyFill="1" applyBorder="1" applyAlignment="1">
      <alignment horizontal="center"/>
    </xf>
    <xf numFmtId="0" fontId="11" fillId="5" borderId="24" xfId="1" applyNumberFormat="1" applyFont="1" applyFill="1" applyBorder="1" applyAlignment="1">
      <alignment horizontal="center"/>
    </xf>
    <xf numFmtId="0" fontId="11" fillId="5" borderId="23" xfId="1" quotePrefix="1" applyNumberFormat="1" applyFont="1" applyFill="1" applyBorder="1" applyAlignment="1">
      <alignment horizontal="center"/>
    </xf>
    <xf numFmtId="0" fontId="11" fillId="5" borderId="71" xfId="1" quotePrefix="1" applyNumberFormat="1" applyFont="1" applyFill="1" applyBorder="1" applyAlignment="1">
      <alignment horizontal="center"/>
    </xf>
    <xf numFmtId="164" fontId="11" fillId="5" borderId="25" xfId="1" quotePrefix="1" applyNumberFormat="1" applyFont="1" applyFill="1" applyBorder="1" applyAlignment="1">
      <alignment horizontal="center"/>
    </xf>
    <xf numFmtId="165" fontId="11" fillId="5" borderId="24" xfId="1" quotePrefix="1" applyNumberFormat="1" applyFont="1" applyFill="1" applyBorder="1" applyAlignment="1">
      <alignment horizontal="center"/>
    </xf>
    <xf numFmtId="165" fontId="11" fillId="5" borderId="53" xfId="1" quotePrefix="1" applyNumberFormat="1" applyFont="1" applyFill="1" applyBorder="1" applyAlignment="1">
      <alignment horizontal="center"/>
    </xf>
    <xf numFmtId="0" fontId="11" fillId="5" borderId="65" xfId="1" quotePrefix="1" applyNumberFormat="1" applyFont="1" applyFill="1" applyBorder="1" applyAlignment="1">
      <alignment horizontal="center"/>
    </xf>
    <xf numFmtId="0" fontId="11" fillId="5" borderId="27" xfId="1" quotePrefix="1" applyNumberFormat="1" applyFont="1" applyFill="1" applyBorder="1" applyAlignment="1">
      <alignment horizontal="center"/>
    </xf>
    <xf numFmtId="0" fontId="11" fillId="5" borderId="86" xfId="2" quotePrefix="1" applyNumberFormat="1" applyFont="1" applyFill="1" applyBorder="1" applyAlignment="1">
      <alignment horizontal="center"/>
    </xf>
    <xf numFmtId="10" fontId="11" fillId="5" borderId="65" xfId="2" quotePrefix="1" applyNumberFormat="1" applyFont="1" applyFill="1" applyBorder="1" applyAlignment="1">
      <alignment horizontal="center"/>
    </xf>
    <xf numFmtId="0" fontId="11" fillId="5" borderId="43" xfId="1" quotePrefix="1" applyNumberFormat="1" applyFont="1" applyFill="1" applyBorder="1" applyAlignment="1">
      <alignment horizontal="center"/>
    </xf>
    <xf numFmtId="0" fontId="11" fillId="5" borderId="53" xfId="1" quotePrefix="1" applyNumberFormat="1" applyFont="1" applyFill="1" applyBorder="1" applyAlignment="1">
      <alignment horizontal="center"/>
    </xf>
    <xf numFmtId="0" fontId="11" fillId="5" borderId="26" xfId="1" quotePrefix="1" applyNumberFormat="1" applyFont="1" applyFill="1" applyBorder="1" applyAlignment="1">
      <alignment horizontal="center"/>
    </xf>
    <xf numFmtId="0" fontId="11" fillId="5" borderId="24" xfId="1" quotePrefix="1" applyNumberFormat="1" applyFont="1" applyFill="1" applyBorder="1" applyAlignment="1">
      <alignment horizontal="center"/>
    </xf>
    <xf numFmtId="1" fontId="11" fillId="5" borderId="23" xfId="1" quotePrefix="1" applyNumberFormat="1" applyFont="1" applyFill="1" applyBorder="1" applyAlignment="1">
      <alignment horizontal="center"/>
    </xf>
    <xf numFmtId="2" fontId="11" fillId="5" borderId="23" xfId="1" quotePrefix="1" applyNumberFormat="1" applyFont="1" applyFill="1" applyBorder="1" applyAlignment="1">
      <alignment horizontal="center"/>
    </xf>
    <xf numFmtId="0" fontId="11" fillId="5" borderId="60" xfId="1" quotePrefix="1" applyNumberFormat="1" applyFont="1" applyFill="1" applyBorder="1" applyAlignment="1">
      <alignment horizontal="center"/>
    </xf>
    <xf numFmtId="10" fontId="11" fillId="5" borderId="74" xfId="1" quotePrefix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7" xfId="0" applyFont="1" applyFill="1" applyBorder="1"/>
    <xf numFmtId="0" fontId="4" fillId="0" borderId="22" xfId="1" applyNumberFormat="1" applyFont="1" applyFill="1" applyBorder="1" applyAlignment="1">
      <alignment horizontal="center"/>
    </xf>
    <xf numFmtId="0" fontId="4" fillId="0" borderId="46" xfId="2" applyNumberFormat="1" applyFont="1" applyFill="1" applyBorder="1" applyAlignment="1">
      <alignment horizontal="center"/>
    </xf>
    <xf numFmtId="0" fontId="4" fillId="0" borderId="18" xfId="1" applyNumberFormat="1" applyFont="1" applyFill="1" applyBorder="1" applyAlignment="1">
      <alignment horizontal="center"/>
    </xf>
    <xf numFmtId="0" fontId="4" fillId="0" borderId="82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65" fontId="4" fillId="0" borderId="57" xfId="1" applyNumberFormat="1" applyFont="1" applyFill="1" applyBorder="1" applyAlignment="1">
      <alignment horizontal="center"/>
    </xf>
    <xf numFmtId="167" fontId="4" fillId="0" borderId="69" xfId="1" applyNumberFormat="1" applyFont="1" applyFill="1" applyBorder="1" applyAlignment="1">
      <alignment horizontal="center"/>
    </xf>
    <xf numFmtId="167" fontId="6" fillId="0" borderId="22" xfId="1" applyNumberFormat="1" applyFont="1" applyFill="1" applyBorder="1" applyAlignment="1">
      <alignment horizontal="center"/>
    </xf>
    <xf numFmtId="10" fontId="4" fillId="0" borderId="69" xfId="2" applyNumberFormat="1" applyFont="1" applyFill="1" applyBorder="1" applyAlignment="1">
      <alignment horizontal="center"/>
    </xf>
    <xf numFmtId="0" fontId="4" fillId="0" borderId="69" xfId="1" applyNumberFormat="1" applyFont="1" applyFill="1" applyBorder="1" applyAlignment="1">
      <alignment horizontal="center"/>
    </xf>
    <xf numFmtId="0" fontId="4" fillId="0" borderId="46" xfId="1" applyNumberFormat="1" applyFont="1" applyFill="1" applyBorder="1" applyAlignment="1">
      <alignment horizontal="center"/>
    </xf>
    <xf numFmtId="0" fontId="4" fillId="0" borderId="57" xfId="1" applyNumberFormat="1" applyFon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2" fontId="4" fillId="0" borderId="18" xfId="1" applyNumberFormat="1" applyFont="1" applyFill="1" applyBorder="1" applyAlignment="1">
      <alignment horizontal="center"/>
    </xf>
    <xf numFmtId="2" fontId="4" fillId="0" borderId="69" xfId="1" applyNumberFormat="1" applyFont="1" applyFill="1" applyBorder="1" applyAlignment="1">
      <alignment horizontal="center"/>
    </xf>
    <xf numFmtId="10" fontId="4" fillId="0" borderId="83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5" xfId="0" applyFont="1" applyFill="1" applyBorder="1"/>
    <xf numFmtId="0" fontId="4" fillId="0" borderId="47" xfId="0" applyFont="1" applyFill="1" applyBorder="1" applyAlignment="1">
      <alignment horizontal="center"/>
    </xf>
    <xf numFmtId="0" fontId="4" fillId="0" borderId="56" xfId="0" applyFont="1" applyFill="1" applyBorder="1"/>
    <xf numFmtId="0" fontId="11" fillId="5" borderId="24" xfId="0" quotePrefix="1" applyNumberFormat="1" applyFont="1" applyFill="1" applyBorder="1" applyAlignment="1">
      <alignment horizontal="center"/>
    </xf>
    <xf numFmtId="9" fontId="11" fillId="5" borderId="24" xfId="2" quotePrefix="1" applyFont="1" applyFill="1" applyBorder="1" applyAlignment="1">
      <alignment horizontal="center"/>
    </xf>
    <xf numFmtId="0" fontId="11" fillId="7" borderId="24" xfId="0" quotePrefix="1" applyNumberFormat="1" applyFont="1" applyFill="1" applyBorder="1" applyAlignment="1">
      <alignment horizontal="center"/>
    </xf>
    <xf numFmtId="9" fontId="11" fillId="7" borderId="24" xfId="2" quotePrefix="1" applyFont="1" applyFill="1" applyBorder="1" applyAlignment="1">
      <alignment horizontal="center"/>
    </xf>
    <xf numFmtId="44" fontId="11" fillId="7" borderId="95" xfId="1" quotePrefix="1" applyNumberFormat="1" applyFont="1" applyFill="1" applyBorder="1" applyAlignment="1">
      <alignment horizontal="center"/>
    </xf>
    <xf numFmtId="44" fontId="11" fillId="7" borderId="24" xfId="1" quotePrefix="1" applyNumberFormat="1" applyFont="1" applyFill="1" applyBorder="1" applyAlignment="1">
      <alignment horizontal="center"/>
    </xf>
    <xf numFmtId="44" fontId="10" fillId="7" borderId="27" xfId="1" quotePrefix="1" applyNumberFormat="1" applyFont="1" applyFill="1" applyBorder="1" applyAlignment="1">
      <alignment horizontal="center"/>
    </xf>
    <xf numFmtId="44" fontId="11" fillId="5" borderId="95" xfId="1" quotePrefix="1" applyNumberFormat="1" applyFont="1" applyFill="1" applyBorder="1" applyAlignment="1">
      <alignment horizontal="center"/>
    </xf>
    <xf numFmtId="44" fontId="11" fillId="5" borderId="24" xfId="1" quotePrefix="1" applyNumberFormat="1" applyFont="1" applyFill="1" applyBorder="1" applyAlignment="1">
      <alignment horizontal="center"/>
    </xf>
    <xf numFmtId="44" fontId="10" fillId="5" borderId="27" xfId="1" quotePrefix="1" applyNumberFormat="1" applyFont="1" applyFill="1" applyBorder="1" applyAlignment="1">
      <alignment horizontal="center"/>
    </xf>
    <xf numFmtId="0" fontId="11" fillId="5" borderId="23" xfId="0" quotePrefix="1" applyNumberFormat="1" applyFont="1" applyFill="1" applyBorder="1" applyAlignment="1">
      <alignment horizontal="center"/>
    </xf>
    <xf numFmtId="0" fontId="11" fillId="7" borderId="23" xfId="0" quotePrefix="1" applyNumberFormat="1" applyFont="1" applyFill="1" applyBorder="1" applyAlignment="1">
      <alignment horizontal="center"/>
    </xf>
    <xf numFmtId="0" fontId="20" fillId="3" borderId="16" xfId="0" quotePrefix="1" applyNumberFormat="1" applyFont="1" applyFill="1" applyBorder="1" applyAlignment="1">
      <alignment horizontal="center"/>
    </xf>
    <xf numFmtId="0" fontId="20" fillId="3" borderId="5" xfId="0" quotePrefix="1" applyNumberFormat="1" applyFont="1" applyFill="1" applyBorder="1" applyAlignment="1">
      <alignment horizontal="center"/>
    </xf>
    <xf numFmtId="44" fontId="10" fillId="7" borderId="29" xfId="0" quotePrefix="1" applyNumberFormat="1" applyFont="1" applyFill="1" applyBorder="1" applyAlignment="1">
      <alignment horizontal="center"/>
    </xf>
    <xf numFmtId="44" fontId="6" fillId="13" borderId="40" xfId="1" applyFont="1" applyFill="1" applyBorder="1" applyAlignment="1">
      <alignment horizontal="center"/>
    </xf>
    <xf numFmtId="44" fontId="6" fillId="11" borderId="40" xfId="1" applyFont="1" applyFill="1" applyBorder="1" applyAlignment="1">
      <alignment horizontal="center"/>
    </xf>
    <xf numFmtId="44" fontId="10" fillId="5" borderId="29" xfId="0" quotePrefix="1" applyNumberFormat="1" applyFont="1" applyFill="1" applyBorder="1" applyAlignment="1">
      <alignment horizontal="center"/>
    </xf>
    <xf numFmtId="44" fontId="6" fillId="13" borderId="93" xfId="0" applyNumberFormat="1" applyFont="1" applyFill="1" applyBorder="1" applyAlignment="1">
      <alignment horizontal="center"/>
    </xf>
    <xf numFmtId="44" fontId="6" fillId="13" borderId="31" xfId="1" applyFont="1" applyFill="1" applyBorder="1" applyAlignment="1">
      <alignment horizontal="center"/>
    </xf>
    <xf numFmtId="0" fontId="25" fillId="0" borderId="0" xfId="0" quotePrefix="1" applyNumberFormat="1" applyFont="1" applyFill="1" applyBorder="1" applyAlignment="1">
      <alignment horizontal="center"/>
    </xf>
    <xf numFmtId="168" fontId="4" fillId="0" borderId="70" xfId="1" applyNumberFormat="1" applyFont="1" applyFill="1" applyBorder="1" applyAlignment="1">
      <alignment horizontal="center"/>
    </xf>
    <xf numFmtId="10" fontId="4" fillId="0" borderId="17" xfId="1" applyNumberFormat="1" applyFont="1" applyFill="1" applyBorder="1" applyAlignment="1">
      <alignment horizontal="center"/>
    </xf>
    <xf numFmtId="169" fontId="4" fillId="0" borderId="54" xfId="1" applyNumberFormat="1" applyFont="1" applyFill="1" applyBorder="1" applyAlignment="1">
      <alignment horizontal="center"/>
    </xf>
    <xf numFmtId="166" fontId="4" fillId="0" borderId="93" xfId="1" applyNumberFormat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54" xfId="1" quotePrefix="1" applyFont="1" applyFill="1" applyBorder="1" applyAlignment="1">
      <alignment horizontal="center"/>
    </xf>
    <xf numFmtId="44" fontId="4" fillId="0" borderId="55" xfId="1" quotePrefix="1" applyFont="1" applyFill="1" applyBorder="1" applyAlignment="1">
      <alignment horizontal="center"/>
    </xf>
    <xf numFmtId="168" fontId="4" fillId="0" borderId="47" xfId="1" applyNumberFormat="1" applyFont="1" applyFill="1" applyBorder="1" applyAlignment="1">
      <alignment horizontal="center"/>
    </xf>
    <xf numFmtId="10" fontId="4" fillId="0" borderId="49" xfId="1" applyNumberFormat="1" applyFont="1" applyFill="1" applyBorder="1" applyAlignment="1">
      <alignment horizontal="center"/>
    </xf>
    <xf numFmtId="169" fontId="4" fillId="0" borderId="56" xfId="1" applyNumberFormat="1" applyFont="1" applyFill="1" applyBorder="1" applyAlignment="1">
      <alignment horizontal="center"/>
    </xf>
    <xf numFmtId="166" fontId="4" fillId="0" borderId="41" xfId="1" applyNumberFormat="1" applyFont="1" applyFill="1" applyBorder="1" applyAlignment="1">
      <alignment horizontal="center"/>
    </xf>
    <xf numFmtId="44" fontId="4" fillId="0" borderId="51" xfId="1" applyFont="1" applyFill="1" applyBorder="1" applyAlignment="1">
      <alignment horizontal="center"/>
    </xf>
    <xf numFmtId="44" fontId="6" fillId="9" borderId="59" xfId="1" applyNumberFormat="1" applyFont="1" applyFill="1" applyBorder="1" applyAlignment="1">
      <alignment horizontal="center"/>
    </xf>
    <xf numFmtId="44" fontId="6" fillId="9" borderId="5" xfId="1" applyNumberFormat="1" applyFont="1" applyFill="1" applyBorder="1" applyAlignment="1">
      <alignment horizontal="center"/>
    </xf>
    <xf numFmtId="44" fontId="6" fillId="13" borderId="93" xfId="1" quotePrefix="1" applyFont="1" applyFill="1" applyBorder="1" applyAlignment="1">
      <alignment horizontal="center"/>
    </xf>
    <xf numFmtId="44" fontId="6" fillId="13" borderId="31" xfId="1" quotePrefix="1" applyFont="1" applyFill="1" applyBorder="1" applyAlignment="1">
      <alignment horizontal="center"/>
    </xf>
    <xf numFmtId="44" fontId="6" fillId="13" borderId="41" xfId="1" quotePrefix="1" applyFont="1" applyFill="1" applyBorder="1" applyAlignment="1">
      <alignment horizontal="center"/>
    </xf>
    <xf numFmtId="44" fontId="4" fillId="9" borderId="25" xfId="1" applyFont="1" applyFill="1" applyBorder="1" applyAlignment="1">
      <alignment horizontal="center"/>
    </xf>
    <xf numFmtId="44" fontId="4" fillId="9" borderId="23" xfId="1" applyFont="1" applyFill="1" applyBorder="1" applyAlignment="1">
      <alignment horizontal="center"/>
    </xf>
    <xf numFmtId="0" fontId="10" fillId="7" borderId="26" xfId="0" quotePrefix="1" applyNumberFormat="1" applyFont="1" applyFill="1" applyBorder="1" applyAlignment="1">
      <alignment horizontal="center"/>
    </xf>
    <xf numFmtId="0" fontId="10" fillId="5" borderId="26" xfId="0" quotePrefix="1" applyNumberFormat="1" applyFont="1" applyFill="1" applyBorder="1" applyAlignment="1">
      <alignment horizontal="center"/>
    </xf>
    <xf numFmtId="0" fontId="6" fillId="3" borderId="10" xfId="2" quotePrefix="1" applyNumberFormat="1" applyFont="1" applyFill="1" applyBorder="1" applyAlignment="1">
      <alignment horizontal="center"/>
    </xf>
    <xf numFmtId="164" fontId="11" fillId="4" borderId="25" xfId="1" quotePrefix="1" applyNumberFormat="1" applyFont="1" applyFill="1" applyBorder="1" applyAlignment="1">
      <alignment horizontal="center"/>
    </xf>
    <xf numFmtId="165" fontId="4" fillId="4" borderId="24" xfId="1" applyNumberFormat="1" applyFont="1" applyFill="1" applyBorder="1" applyAlignment="1">
      <alignment horizontal="center"/>
    </xf>
    <xf numFmtId="164" fontId="11" fillId="6" borderId="25" xfId="1" quotePrefix="1" applyNumberFormat="1" applyFont="1" applyFill="1" applyBorder="1" applyAlignment="1">
      <alignment horizontal="center"/>
    </xf>
    <xf numFmtId="165" fontId="11" fillId="6" borderId="24" xfId="1" quotePrefix="1" applyNumberFormat="1" applyFont="1" applyFill="1" applyBorder="1" applyAlignment="1">
      <alignment horizontal="center"/>
    </xf>
    <xf numFmtId="165" fontId="4" fillId="6" borderId="24" xfId="1" applyNumberFormat="1" applyFont="1" applyFill="1" applyBorder="1" applyAlignment="1">
      <alignment horizontal="center"/>
    </xf>
    <xf numFmtId="0" fontId="11" fillId="7" borderId="53" xfId="0" quotePrefix="1" applyNumberFormat="1" applyFont="1" applyFill="1" applyBorder="1" applyAlignment="1">
      <alignment horizontal="center"/>
    </xf>
    <xf numFmtId="0" fontId="11" fillId="7" borderId="24" xfId="1" quotePrefix="1" applyNumberFormat="1" applyFont="1" applyFill="1" applyBorder="1" applyAlignment="1">
      <alignment horizontal="center"/>
    </xf>
    <xf numFmtId="0" fontId="11" fillId="5" borderId="53" xfId="0" quotePrefix="1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11" fillId="4" borderId="86" xfId="0" quotePrefix="1" applyNumberFormat="1" applyFont="1" applyFill="1" applyBorder="1" applyAlignment="1">
      <alignment horizontal="center"/>
    </xf>
    <xf numFmtId="0" fontId="4" fillId="0" borderId="87" xfId="0" applyNumberFormat="1" applyFont="1" applyFill="1" applyBorder="1" applyAlignment="1">
      <alignment horizontal="center"/>
    </xf>
    <xf numFmtId="0" fontId="16" fillId="0" borderId="88" xfId="3" applyNumberFormat="1" applyFont="1" applyFill="1" applyBorder="1" applyAlignment="1">
      <alignment horizontal="center"/>
    </xf>
    <xf numFmtId="0" fontId="16" fillId="0" borderId="89" xfId="3" applyNumberFormat="1" applyFont="1" applyFill="1" applyBorder="1" applyAlignment="1">
      <alignment horizontal="center"/>
    </xf>
    <xf numFmtId="0" fontId="11" fillId="7" borderId="86" xfId="0" quotePrefix="1" applyNumberFormat="1" applyFont="1" applyFill="1" applyBorder="1" applyAlignment="1">
      <alignment horizontal="center"/>
    </xf>
    <xf numFmtId="0" fontId="4" fillId="0" borderId="89" xfId="0" applyNumberFormat="1" applyFont="1" applyFill="1" applyBorder="1" applyAlignment="1">
      <alignment horizontal="center"/>
    </xf>
    <xf numFmtId="0" fontId="11" fillId="6" borderId="86" xfId="0" quotePrefix="1" applyNumberFormat="1" applyFont="1" applyFill="1" applyBorder="1" applyAlignment="1">
      <alignment horizontal="center"/>
    </xf>
    <xf numFmtId="0" fontId="4" fillId="0" borderId="88" xfId="0" applyNumberFormat="1" applyFont="1" applyFill="1" applyBorder="1" applyAlignment="1">
      <alignment horizontal="center"/>
    </xf>
    <xf numFmtId="0" fontId="11" fillId="5" borderId="86" xfId="0" quotePrefix="1" applyNumberFormat="1" applyFont="1" applyFill="1" applyBorder="1" applyAlignment="1">
      <alignment horizontal="center"/>
    </xf>
    <xf numFmtId="0" fontId="6" fillId="3" borderId="12" xfId="0" quotePrefix="1" applyNumberFormat="1" applyFont="1" applyFill="1" applyBorder="1" applyAlignment="1">
      <alignment horizontal="center"/>
    </xf>
    <xf numFmtId="44" fontId="6" fillId="13" borderId="22" xfId="1" applyNumberFormat="1" applyFont="1" applyFill="1" applyBorder="1" applyAlignment="1">
      <alignment horizontal="center"/>
    </xf>
    <xf numFmtId="44" fontId="6" fillId="13" borderId="14" xfId="1" applyNumberFormat="1" applyFont="1" applyFill="1" applyBorder="1" applyAlignment="1">
      <alignment horizontal="center"/>
    </xf>
    <xf numFmtId="44" fontId="6" fillId="13" borderId="50" xfId="1" applyNumberFormat="1" applyFont="1" applyFill="1" applyBorder="1" applyAlignment="1">
      <alignment horizontal="center"/>
    </xf>
    <xf numFmtId="170" fontId="4" fillId="0" borderId="19" xfId="1" quotePrefix="1" applyNumberFormat="1" applyFont="1" applyFill="1" applyBorder="1" applyAlignment="1">
      <alignment horizontal="center"/>
    </xf>
    <xf numFmtId="170" fontId="4" fillId="0" borderId="4" xfId="1" quotePrefix="1" applyNumberFormat="1" applyFont="1" applyFill="1" applyBorder="1" applyAlignment="1">
      <alignment horizontal="center"/>
    </xf>
    <xf numFmtId="170" fontId="4" fillId="0" borderId="48" xfId="1" quotePrefix="1" applyNumberFormat="1" applyFont="1" applyFill="1" applyBorder="1" applyAlignment="1">
      <alignment horizontal="center"/>
    </xf>
    <xf numFmtId="170" fontId="4" fillId="0" borderId="96" xfId="1" quotePrefix="1" applyNumberFormat="1" applyFont="1" applyFill="1" applyBorder="1" applyAlignment="1">
      <alignment horizontal="center"/>
    </xf>
    <xf numFmtId="170" fontId="4" fillId="0" borderId="97" xfId="1" quotePrefix="1" applyNumberFormat="1" applyFont="1" applyFill="1" applyBorder="1" applyAlignment="1">
      <alignment horizontal="center"/>
    </xf>
    <xf numFmtId="170" fontId="4" fillId="0" borderId="98" xfId="1" quotePrefix="1" applyNumberFormat="1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101" xfId="0" applyFont="1" applyFill="1" applyBorder="1"/>
    <xf numFmtId="170" fontId="4" fillId="0" borderId="102" xfId="1" quotePrefix="1" applyNumberFormat="1" applyFont="1" applyFill="1" applyBorder="1" applyAlignment="1">
      <alignment horizontal="center"/>
    </xf>
    <xf numFmtId="170" fontId="4" fillId="0" borderId="103" xfId="1" quotePrefix="1" applyNumberFormat="1" applyFont="1" applyFill="1" applyBorder="1" applyAlignment="1">
      <alignment horizontal="center"/>
    </xf>
    <xf numFmtId="170" fontId="6" fillId="11" borderId="104" xfId="1" quotePrefix="1" applyNumberFormat="1" applyFont="1" applyFill="1" applyBorder="1" applyAlignment="1">
      <alignment horizontal="center"/>
    </xf>
    <xf numFmtId="168" fontId="4" fillId="0" borderId="100" xfId="1" applyNumberFormat="1" applyFont="1" applyFill="1" applyBorder="1" applyAlignment="1">
      <alignment horizontal="center"/>
    </xf>
    <xf numFmtId="10" fontId="4" fillId="0" borderId="105" xfId="1" applyNumberFormat="1" applyFont="1" applyFill="1" applyBorder="1" applyAlignment="1">
      <alignment horizontal="center"/>
    </xf>
    <xf numFmtId="169" fontId="4" fillId="0" borderId="101" xfId="1" applyNumberFormat="1" applyFont="1" applyFill="1" applyBorder="1" applyAlignment="1">
      <alignment horizontal="center"/>
    </xf>
    <xf numFmtId="166" fontId="4" fillId="0" borderId="99" xfId="1" applyNumberFormat="1" applyFont="1" applyFill="1" applyBorder="1" applyAlignment="1">
      <alignment horizontal="center"/>
    </xf>
    <xf numFmtId="44" fontId="4" fillId="0" borderId="106" xfId="1" applyFont="1" applyFill="1" applyBorder="1" applyAlignment="1">
      <alignment horizontal="center"/>
    </xf>
    <xf numFmtId="44" fontId="4" fillId="0" borderId="101" xfId="0" applyNumberFormat="1" applyFont="1" applyFill="1" applyBorder="1" applyAlignment="1">
      <alignment horizontal="center"/>
    </xf>
    <xf numFmtId="44" fontId="4" fillId="0" borderId="101" xfId="1" applyFont="1" applyFill="1" applyBorder="1" applyAlignment="1">
      <alignment horizontal="center"/>
    </xf>
    <xf numFmtId="44" fontId="6" fillId="11" borderId="99" xfId="1" applyFont="1" applyFill="1" applyBorder="1" applyAlignment="1">
      <alignment horizontal="center"/>
    </xf>
    <xf numFmtId="0" fontId="4" fillId="0" borderId="100" xfId="0" applyNumberFormat="1" applyFont="1" applyFill="1" applyBorder="1" applyAlignment="1">
      <alignment horizontal="center"/>
    </xf>
    <xf numFmtId="0" fontId="4" fillId="0" borderId="105" xfId="0" applyNumberFormat="1" applyFont="1" applyFill="1" applyBorder="1" applyAlignment="1">
      <alignment horizontal="center"/>
    </xf>
    <xf numFmtId="0" fontId="4" fillId="0" borderId="104" xfId="1" applyNumberFormat="1" applyFont="1" applyFill="1" applyBorder="1" applyAlignment="1">
      <alignment horizontal="center"/>
    </xf>
    <xf numFmtId="0" fontId="4" fillId="0" borderId="107" xfId="2" applyNumberFormat="1" applyFont="1" applyFill="1" applyBorder="1" applyAlignment="1">
      <alignment horizontal="center"/>
    </xf>
    <xf numFmtId="0" fontId="4" fillId="0" borderId="101" xfId="0" applyNumberFormat="1" applyFont="1" applyFill="1" applyBorder="1" applyAlignment="1">
      <alignment horizontal="center"/>
    </xf>
    <xf numFmtId="0" fontId="4" fillId="0" borderId="103" xfId="1" applyNumberFormat="1" applyFont="1" applyFill="1" applyBorder="1" applyAlignment="1">
      <alignment horizontal="center"/>
    </xf>
    <xf numFmtId="0" fontId="4" fillId="0" borderId="100" xfId="1" applyNumberFormat="1" applyFont="1" applyFill="1" applyBorder="1" applyAlignment="1">
      <alignment horizontal="center"/>
    </xf>
    <xf numFmtId="0" fontId="4" fillId="0" borderId="108" xfId="1" applyNumberFormat="1" applyFont="1" applyFill="1" applyBorder="1" applyAlignment="1">
      <alignment horizontal="center"/>
    </xf>
    <xf numFmtId="164" fontId="4" fillId="0" borderId="106" xfId="1" applyNumberFormat="1" applyFont="1" applyFill="1" applyBorder="1" applyAlignment="1">
      <alignment horizontal="center"/>
    </xf>
    <xf numFmtId="165" fontId="4" fillId="0" borderId="103" xfId="1" applyNumberFormat="1" applyFont="1" applyFill="1" applyBorder="1" applyAlignment="1">
      <alignment horizontal="center"/>
    </xf>
    <xf numFmtId="165" fontId="4" fillId="0" borderId="101" xfId="1" applyNumberFormat="1" applyFont="1" applyFill="1" applyBorder="1" applyAlignment="1">
      <alignment horizontal="center"/>
    </xf>
    <xf numFmtId="167" fontId="4" fillId="0" borderId="109" xfId="1" applyNumberFormat="1" applyFont="1" applyFill="1" applyBorder="1" applyAlignment="1">
      <alignment horizontal="center"/>
    </xf>
    <xf numFmtId="167" fontId="6" fillId="0" borderId="104" xfId="1" applyNumberFormat="1" applyFont="1" applyFill="1" applyBorder="1" applyAlignment="1">
      <alignment horizontal="center"/>
    </xf>
    <xf numFmtId="0" fontId="4" fillId="0" borderId="110" xfId="2" applyNumberFormat="1" applyFont="1" applyFill="1" applyBorder="1" applyAlignment="1">
      <alignment horizontal="center"/>
    </xf>
    <xf numFmtId="0" fontId="4" fillId="0" borderId="111" xfId="1" applyNumberFormat="1" applyFont="1" applyFill="1" applyBorder="1" applyAlignment="1">
      <alignment horizontal="center"/>
    </xf>
    <xf numFmtId="10" fontId="4" fillId="0" borderId="109" xfId="2" applyNumberFormat="1" applyFont="1" applyFill="1" applyBorder="1" applyAlignment="1">
      <alignment horizontal="center"/>
    </xf>
    <xf numFmtId="0" fontId="4" fillId="0" borderId="109" xfId="1" applyNumberFormat="1" applyFont="1" applyFill="1" applyBorder="1" applyAlignment="1">
      <alignment horizontal="center"/>
    </xf>
    <xf numFmtId="0" fontId="4" fillId="0" borderId="107" xfId="1" applyNumberFormat="1" applyFont="1" applyFill="1" applyBorder="1" applyAlignment="1">
      <alignment horizontal="center"/>
    </xf>
    <xf numFmtId="0" fontId="4" fillId="0" borderId="101" xfId="1" applyNumberFormat="1" applyFont="1" applyFill="1" applyBorder="1" applyAlignment="1">
      <alignment horizontal="center"/>
    </xf>
    <xf numFmtId="1" fontId="4" fillId="0" borderId="100" xfId="1" applyNumberFormat="1" applyFont="1" applyFill="1" applyBorder="1" applyAlignment="1">
      <alignment horizontal="center"/>
    </xf>
    <xf numFmtId="2" fontId="4" fillId="0" borderId="100" xfId="1" applyNumberFormat="1" applyFont="1" applyFill="1" applyBorder="1" applyAlignment="1">
      <alignment horizontal="center"/>
    </xf>
    <xf numFmtId="2" fontId="4" fillId="0" borderId="109" xfId="1" applyNumberFormat="1" applyFont="1" applyFill="1" applyBorder="1" applyAlignment="1">
      <alignment horizontal="center"/>
    </xf>
    <xf numFmtId="10" fontId="4" fillId="0" borderId="112" xfId="1" applyNumberFormat="1" applyFont="1" applyFill="1" applyBorder="1" applyAlignment="1">
      <alignment horizontal="center"/>
    </xf>
    <xf numFmtId="42" fontId="9" fillId="2" borderId="85" xfId="1" applyNumberFormat="1" applyFont="1" applyFill="1" applyBorder="1" applyAlignment="1">
      <alignment horizontal="center"/>
    </xf>
    <xf numFmtId="44" fontId="4" fillId="0" borderId="22" xfId="1" applyNumberFormat="1" applyFont="1" applyFill="1" applyBorder="1" applyAlignment="1">
      <alignment horizontal="center"/>
    </xf>
    <xf numFmtId="44" fontId="16" fillId="0" borderId="14" xfId="3" applyNumberFormat="1" applyFont="1" applyFill="1" applyBorder="1" applyAlignment="1">
      <alignment horizontal="center"/>
    </xf>
    <xf numFmtId="44" fontId="16" fillId="0" borderId="50" xfId="3" applyNumberFormat="1" applyFont="1" applyFill="1" applyBorder="1" applyAlignment="1">
      <alignment horizontal="center"/>
    </xf>
    <xf numFmtId="44" fontId="11" fillId="7" borderId="27" xfId="1" quotePrefix="1" applyNumberFormat="1" applyFont="1" applyFill="1" applyBorder="1" applyAlignment="1">
      <alignment horizontal="center"/>
    </xf>
    <xf numFmtId="170" fontId="4" fillId="0" borderId="104" xfId="1" quotePrefix="1" applyNumberFormat="1" applyFont="1" applyFill="1" applyBorder="1" applyAlignment="1">
      <alignment horizontal="center"/>
    </xf>
    <xf numFmtId="44" fontId="4" fillId="0" borderId="14" xfId="1" applyNumberFormat="1" applyFont="1" applyFill="1" applyBorder="1" applyAlignment="1">
      <alignment horizontal="center"/>
    </xf>
    <xf numFmtId="44" fontId="4" fillId="0" borderId="50" xfId="1" applyNumberFormat="1" applyFont="1" applyFill="1" applyBorder="1" applyAlignment="1">
      <alignment horizontal="center"/>
    </xf>
    <xf numFmtId="44" fontId="11" fillId="5" borderId="27" xfId="1" quotePrefix="1" applyNumberFormat="1" applyFont="1" applyFill="1" applyBorder="1" applyAlignment="1">
      <alignment horizontal="center"/>
    </xf>
    <xf numFmtId="170" fontId="4" fillId="0" borderId="22" xfId="1" quotePrefix="1" applyNumberFormat="1" applyFont="1" applyFill="1" applyBorder="1" applyAlignment="1">
      <alignment horizontal="center"/>
    </xf>
    <xf numFmtId="170" fontId="4" fillId="0" borderId="14" xfId="1" quotePrefix="1" applyNumberFormat="1" applyFont="1" applyFill="1" applyBorder="1" applyAlignment="1">
      <alignment horizontal="center"/>
    </xf>
    <xf numFmtId="170" fontId="4" fillId="0" borderId="50" xfId="1" quotePrefix="1" applyNumberFormat="1" applyFont="1" applyFill="1" applyBorder="1" applyAlignment="1">
      <alignment horizontal="center"/>
    </xf>
    <xf numFmtId="44" fontId="6" fillId="9" borderId="13" xfId="1" applyNumberFormat="1" applyFont="1" applyFill="1" applyBorder="1" applyAlignment="1">
      <alignment horizontal="center"/>
    </xf>
    <xf numFmtId="44" fontId="3" fillId="0" borderId="0" xfId="1" applyFont="1" applyFill="1" applyAlignment="1">
      <alignment horizontal="center" vertical="top"/>
    </xf>
    <xf numFmtId="3" fontId="8" fillId="2" borderId="7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/>
    <xf numFmtId="3" fontId="8" fillId="2" borderId="38" xfId="0" applyNumberFormat="1" applyFont="1" applyFill="1" applyBorder="1" applyAlignment="1"/>
    <xf numFmtId="3" fontId="8" fillId="2" borderId="37" xfId="0" applyNumberFormat="1" applyFont="1" applyFill="1" applyBorder="1" applyAlignment="1"/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3" fontId="8" fillId="2" borderId="36" xfId="0" applyNumberFormat="1" applyFont="1" applyFill="1" applyBorder="1" applyAlignment="1">
      <alignment horizontal="left"/>
    </xf>
    <xf numFmtId="3" fontId="8" fillId="2" borderId="38" xfId="0" applyNumberFormat="1" applyFont="1" applyFill="1" applyBorder="1" applyAlignment="1">
      <alignment horizontal="left"/>
    </xf>
    <xf numFmtId="3" fontId="8" fillId="2" borderId="37" xfId="0" applyNumberFormat="1" applyFont="1" applyFill="1" applyBorder="1" applyAlignment="1">
      <alignment horizontal="left"/>
    </xf>
    <xf numFmtId="42" fontId="8" fillId="15" borderId="36" xfId="1" applyNumberFormat="1" applyFont="1" applyFill="1" applyBorder="1" applyAlignment="1">
      <alignment horizontal="left"/>
    </xf>
    <xf numFmtId="42" fontId="8" fillId="15" borderId="38" xfId="1" applyNumberFormat="1" applyFont="1" applyFill="1" applyBorder="1" applyAlignment="1">
      <alignment horizontal="left"/>
    </xf>
    <xf numFmtId="42" fontId="8" fillId="15" borderId="37" xfId="1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2" fontId="8" fillId="2" borderId="94" xfId="1" applyNumberFormat="1" applyFont="1" applyFill="1" applyBorder="1" applyAlignment="1">
      <alignment horizontal="center"/>
    </xf>
    <xf numFmtId="42" fontId="8" fillId="2" borderId="38" xfId="1" applyNumberFormat="1" applyFont="1" applyFill="1" applyBorder="1" applyAlignment="1">
      <alignment horizontal="center"/>
    </xf>
    <xf numFmtId="42" fontId="8" fillId="2" borderId="37" xfId="1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3" fontId="8" fillId="2" borderId="33" xfId="0" applyNumberFormat="1" applyFont="1" applyFill="1" applyBorder="1" applyAlignment="1">
      <alignment horizontal="left"/>
    </xf>
    <xf numFmtId="3" fontId="8" fillId="2" borderId="39" xfId="0" applyNumberFormat="1" applyFont="1" applyFill="1" applyBorder="1" applyAlignment="1">
      <alignment horizontal="left"/>
    </xf>
    <xf numFmtId="3" fontId="8" fillId="2" borderId="35" xfId="0" applyNumberFormat="1" applyFont="1" applyFill="1" applyBorder="1" applyAlignment="1">
      <alignment horizontal="left"/>
    </xf>
    <xf numFmtId="42" fontId="8" fillId="2" borderId="94" xfId="1" applyNumberFormat="1" applyFont="1" applyFill="1" applyBorder="1" applyAlignment="1">
      <alignment horizontal="left"/>
    </xf>
  </cellXfs>
  <cellStyles count="5">
    <cellStyle name="Měna" xfId="1" builtinId="4"/>
    <cellStyle name="Normální" xfId="0" builtinId="0"/>
    <cellStyle name="Normální 2" xfId="4"/>
    <cellStyle name="Procenta" xfId="2" builtinId="5"/>
    <cellStyle name="Zvýraznění 6" xfId="3" builtinId="49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66675</xdr:rowOff>
    </xdr:from>
    <xdr:to>
      <xdr:col>1</xdr:col>
      <xdr:colOff>609600</xdr:colOff>
      <xdr:row>2</xdr:row>
      <xdr:rowOff>219075</xdr:rowOff>
    </xdr:to>
    <xdr:pic>
      <xdr:nvPicPr>
        <xdr:cNvPr id="2" name="Picture 1" descr="junak_znak_cb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5080"/>
          <a:ext cx="581025" cy="69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66675</xdr:rowOff>
    </xdr:from>
    <xdr:to>
      <xdr:col>1</xdr:col>
      <xdr:colOff>609600</xdr:colOff>
      <xdr:row>2</xdr:row>
      <xdr:rowOff>219075</xdr:rowOff>
    </xdr:to>
    <xdr:pic>
      <xdr:nvPicPr>
        <xdr:cNvPr id="2" name="Picture 1" descr="junak_znak_cb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675"/>
          <a:ext cx="5810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43"/>
  <sheetViews>
    <sheetView showGridLines="0" tabSelected="1" topLeftCell="B1" zoomScale="80" zoomScaleNormal="80" zoomScaleSheetLayoutView="80" workbookViewId="0">
      <pane xSplit="2" ySplit="8" topLeftCell="D9" activePane="bottomRight" state="frozen"/>
      <selection activeCell="B1" sqref="B1"/>
      <selection pane="topRight" activeCell="E1" sqref="E1"/>
      <selection pane="bottomLeft" activeCell="B9" sqref="B9"/>
      <selection pane="bottomRight" activeCell="F42" sqref="F42"/>
    </sheetView>
  </sheetViews>
  <sheetFormatPr defaultRowHeight="12.75" x14ac:dyDescent="0.2"/>
  <cols>
    <col min="1" max="1" width="7.28515625" hidden="1" customWidth="1"/>
    <col min="2" max="2" width="9.7109375" bestFit="1" customWidth="1"/>
    <col min="3" max="3" width="40.7109375" customWidth="1"/>
    <col min="4" max="4" width="16.140625" bestFit="1" customWidth="1"/>
    <col min="5" max="6" width="16.140625" customWidth="1"/>
    <col min="7" max="7" width="16.7109375" customWidth="1"/>
    <col min="8" max="8" width="1.42578125" style="1" customWidth="1"/>
    <col min="9" max="9" width="8" style="1" customWidth="1"/>
    <col min="10" max="10" width="14.140625" style="1" customWidth="1"/>
    <col min="11" max="11" width="9.7109375" style="1" customWidth="1"/>
    <col min="12" max="12" width="10.5703125" customWidth="1"/>
    <col min="13" max="13" width="14.85546875" style="1" customWidth="1"/>
    <col min="14" max="14" width="10.5703125" style="1" customWidth="1"/>
    <col min="15" max="15" width="1.42578125" style="1" customWidth="1"/>
    <col min="16" max="16" width="17.28515625" bestFit="1" customWidth="1"/>
    <col min="17" max="17" width="12.42578125" customWidth="1"/>
    <col min="18" max="18" width="15" bestFit="1" customWidth="1"/>
    <col min="19" max="19" width="15.140625" bestFit="1" customWidth="1"/>
    <col min="20" max="20" width="1.42578125" style="1" customWidth="1"/>
    <col min="21" max="21" width="11.42578125" bestFit="1" customWidth="1"/>
    <col min="22" max="22" width="15.140625" customWidth="1"/>
    <col min="23" max="23" width="19.42578125" customWidth="1"/>
    <col min="24" max="24" width="18" customWidth="1"/>
    <col min="25" max="25" width="17.28515625" customWidth="1"/>
    <col min="26" max="26" width="13.7109375" customWidth="1"/>
    <col min="27" max="27" width="14.85546875" customWidth="1"/>
    <col min="28" max="28" width="15.140625" bestFit="1" customWidth="1"/>
    <col min="29" max="29" width="1.42578125" customWidth="1"/>
    <col min="30" max="30" width="10.5703125" bestFit="1" customWidth="1"/>
    <col min="31" max="31" width="12.85546875" customWidth="1"/>
    <col min="32" max="32" width="10.7109375" customWidth="1"/>
    <col min="33" max="33" width="8.85546875" bestFit="1" customWidth="1"/>
    <col min="34" max="34" width="11.7109375" customWidth="1"/>
    <col min="35" max="36" width="11.7109375" style="1" customWidth="1"/>
    <col min="37" max="37" width="1.42578125" customWidth="1"/>
    <col min="38" max="39" width="5.7109375" customWidth="1"/>
    <col min="40" max="40" width="12.28515625" bestFit="1" customWidth="1"/>
    <col min="41" max="41" width="11.7109375" bestFit="1" customWidth="1"/>
    <col min="42" max="42" width="1.42578125" customWidth="1"/>
    <col min="43" max="44" width="5.7109375" style="1" customWidth="1"/>
    <col min="45" max="46" width="10.7109375" style="1" customWidth="1"/>
    <col min="47" max="47" width="9.28515625" style="1" bestFit="1" customWidth="1"/>
    <col min="48" max="48" width="9.7109375" style="1" customWidth="1"/>
    <col min="49" max="49" width="1.42578125" customWidth="1"/>
    <col min="50" max="50" width="11.7109375" customWidth="1"/>
    <col min="51" max="52" width="11.7109375" style="1" customWidth="1"/>
    <col min="53" max="53" width="13.85546875" style="1" customWidth="1"/>
    <col min="54" max="54" width="8.7109375" style="1" customWidth="1"/>
    <col min="55" max="55" width="9.28515625" style="1" bestFit="1" customWidth="1"/>
    <col min="56" max="56" width="10.5703125" style="1" customWidth="1"/>
    <col min="57" max="57" width="1.42578125" customWidth="1"/>
    <col min="58" max="62" width="11.7109375" style="1" customWidth="1"/>
    <col min="63" max="63" width="1.42578125" customWidth="1"/>
    <col min="64" max="64" width="9.42578125" style="1" customWidth="1"/>
    <col min="65" max="65" width="9.85546875" style="1" customWidth="1"/>
    <col min="66" max="66" width="8.7109375" style="1" customWidth="1"/>
    <col min="67" max="67" width="11.85546875" style="1" customWidth="1"/>
    <col min="68" max="68" width="1.42578125" customWidth="1"/>
    <col min="69" max="70" width="9.85546875" style="1" customWidth="1"/>
    <col min="71" max="71" width="14.7109375" style="1" customWidth="1"/>
    <col min="72" max="72" width="7.7109375" style="1" customWidth="1"/>
    <col min="73" max="73" width="6.85546875" style="1" customWidth="1"/>
    <col min="74" max="74" width="10.5703125" style="1" customWidth="1"/>
  </cols>
  <sheetData>
    <row r="1" spans="2:74" s="2" customFormat="1" ht="36" x14ac:dyDescent="0.2">
      <c r="B1" s="10"/>
      <c r="C1" s="11" t="s">
        <v>101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3"/>
      <c r="R1" s="13"/>
      <c r="S1" s="13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1"/>
      <c r="AF1" s="11"/>
      <c r="AG1" s="11"/>
      <c r="AH1" s="11"/>
      <c r="AK1" s="13"/>
      <c r="AL1" s="13"/>
      <c r="AM1" s="13"/>
      <c r="AN1" s="13"/>
      <c r="AO1" s="13"/>
      <c r="AP1" s="13"/>
      <c r="AW1" s="13"/>
      <c r="AX1" s="11"/>
      <c r="BE1" s="13"/>
      <c r="BK1" s="13"/>
      <c r="BP1" s="13"/>
    </row>
    <row r="2" spans="2:74" s="2" customFormat="1" ht="6" customHeight="1" x14ac:dyDescent="0.25">
      <c r="B2" s="10"/>
      <c r="C2" s="1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4"/>
      <c r="Q2" s="4"/>
      <c r="R2" s="4"/>
      <c r="S2" s="4"/>
      <c r="T2" s="15"/>
      <c r="U2" s="4"/>
      <c r="V2" s="4"/>
      <c r="W2" s="4"/>
      <c r="X2" s="4"/>
      <c r="Y2" s="4"/>
      <c r="Z2" s="4"/>
      <c r="AA2" s="4"/>
      <c r="AB2" s="4"/>
      <c r="AC2" s="4"/>
      <c r="AD2" s="4"/>
      <c r="AE2" s="14"/>
      <c r="AF2" s="14"/>
      <c r="AG2" s="14"/>
      <c r="AH2" s="14"/>
      <c r="AK2" s="4"/>
      <c r="AL2" s="4"/>
      <c r="AM2" s="4"/>
      <c r="AN2" s="4"/>
      <c r="AO2" s="4"/>
      <c r="AP2" s="4"/>
      <c r="AW2" s="4"/>
      <c r="AX2" s="14"/>
      <c r="BE2" s="4"/>
      <c r="BK2" s="4"/>
      <c r="BP2" s="4"/>
    </row>
    <row r="3" spans="2:74" s="2" customFormat="1" ht="21" customHeight="1" x14ac:dyDescent="0.25">
      <c r="B3" s="10"/>
      <c r="C3" s="16" t="s">
        <v>0</v>
      </c>
      <c r="O3" s="110"/>
      <c r="T3" s="110"/>
      <c r="AG3" s="16"/>
      <c r="AH3" s="16"/>
      <c r="AX3" s="16"/>
    </row>
    <row r="4" spans="2:74" s="2" customFormat="1" ht="15" x14ac:dyDescent="0.25">
      <c r="B4" s="10"/>
      <c r="C4" s="14" t="s">
        <v>1</v>
      </c>
      <c r="G4" s="344"/>
      <c r="H4" s="344"/>
      <c r="J4" s="112"/>
      <c r="K4" s="113"/>
      <c r="L4" s="551"/>
      <c r="M4" s="551"/>
      <c r="N4" s="551"/>
      <c r="O4" s="113"/>
      <c r="P4" s="2" t="s">
        <v>2</v>
      </c>
      <c r="T4" s="113"/>
      <c r="AG4" s="14"/>
      <c r="AH4" s="14"/>
      <c r="AX4" s="14"/>
    </row>
    <row r="5" spans="2:74" s="2" customFormat="1" ht="15.75" customHeight="1" x14ac:dyDescent="0.25">
      <c r="B5" s="10"/>
      <c r="C5" s="14" t="s">
        <v>3</v>
      </c>
      <c r="D5" s="282" t="s">
        <v>107</v>
      </c>
      <c r="E5" s="566" t="s">
        <v>118</v>
      </c>
      <c r="F5" s="566"/>
      <c r="G5" s="566"/>
      <c r="I5" s="15"/>
      <c r="J5" s="15"/>
      <c r="L5" s="17"/>
      <c r="M5" s="15"/>
      <c r="N5" s="15"/>
      <c r="P5" s="135">
        <f>P41/(AH38*1+AI38*2+AJ38*3)</f>
        <v>80.616332819722643</v>
      </c>
      <c r="Q5" s="2" t="s">
        <v>4</v>
      </c>
      <c r="R5" s="2" t="s">
        <v>5</v>
      </c>
      <c r="U5" s="135"/>
      <c r="V5" s="135"/>
      <c r="W5" s="135"/>
      <c r="X5" s="135"/>
      <c r="Y5" s="135"/>
      <c r="AD5" s="337" t="s">
        <v>104</v>
      </c>
      <c r="AG5" s="14"/>
      <c r="AH5" s="16" t="s">
        <v>104</v>
      </c>
      <c r="AL5" s="6" t="s">
        <v>104</v>
      </c>
      <c r="AQ5" s="337" t="s">
        <v>104</v>
      </c>
      <c r="AX5" s="337" t="s">
        <v>104</v>
      </c>
      <c r="BF5" s="337" t="s">
        <v>104</v>
      </c>
      <c r="BL5" s="337" t="s">
        <v>104</v>
      </c>
      <c r="BQ5" s="337" t="s">
        <v>104</v>
      </c>
    </row>
    <row r="6" spans="2:74" s="3" customFormat="1" ht="7.5" customHeight="1" thickBot="1" x14ac:dyDescent="0.3">
      <c r="B6" s="18"/>
      <c r="C6" s="6"/>
      <c r="D6" s="7"/>
      <c r="E6" s="7"/>
      <c r="F6" s="7"/>
      <c r="G6" s="7"/>
      <c r="H6" s="8"/>
      <c r="I6" s="8"/>
      <c r="J6" s="8"/>
      <c r="K6" s="8"/>
      <c r="L6" s="7"/>
      <c r="M6" s="8"/>
      <c r="N6" s="8"/>
      <c r="O6" s="8"/>
      <c r="P6" s="6"/>
      <c r="Q6" s="6"/>
      <c r="R6" s="6"/>
      <c r="S6" s="6"/>
      <c r="T6" s="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7"/>
      <c r="AK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6"/>
      <c r="AX6" s="6"/>
      <c r="AY6" s="9"/>
      <c r="AZ6" s="7"/>
      <c r="BA6" s="7"/>
      <c r="BB6" s="7"/>
      <c r="BC6" s="7"/>
      <c r="BD6" s="7"/>
      <c r="BE6" s="6"/>
      <c r="BF6" s="7"/>
      <c r="BG6" s="7"/>
      <c r="BH6" s="7"/>
      <c r="BI6" s="7"/>
      <c r="BJ6" s="7"/>
      <c r="BK6" s="6"/>
      <c r="BL6" s="7"/>
      <c r="BM6" s="7"/>
      <c r="BN6" s="7"/>
      <c r="BO6" s="7"/>
      <c r="BP6" s="6"/>
      <c r="BQ6" s="7"/>
      <c r="BR6" s="7"/>
      <c r="BS6" s="7"/>
      <c r="BT6" s="7"/>
      <c r="BU6" s="7"/>
      <c r="BV6" s="7"/>
    </row>
    <row r="7" spans="2:74" s="3" customFormat="1" ht="15" x14ac:dyDescent="0.25">
      <c r="B7" s="32" t="s">
        <v>6</v>
      </c>
      <c r="C7" s="19" t="s">
        <v>7</v>
      </c>
      <c r="D7" s="567" t="s">
        <v>8</v>
      </c>
      <c r="E7" s="568"/>
      <c r="F7" s="568"/>
      <c r="G7" s="569"/>
      <c r="H7" s="118"/>
      <c r="I7" s="570" t="s">
        <v>113</v>
      </c>
      <c r="J7" s="571"/>
      <c r="K7" s="264" t="s">
        <v>9</v>
      </c>
      <c r="L7" s="570" t="s">
        <v>114</v>
      </c>
      <c r="M7" s="571"/>
      <c r="N7" s="264" t="s">
        <v>9</v>
      </c>
      <c r="O7" s="118"/>
      <c r="P7" s="333" t="s">
        <v>10</v>
      </c>
      <c r="Q7" s="334"/>
      <c r="R7" s="334"/>
      <c r="S7" s="335"/>
      <c r="T7" s="118"/>
      <c r="U7" s="557" t="s">
        <v>11</v>
      </c>
      <c r="V7" s="558"/>
      <c r="W7" s="558"/>
      <c r="X7" s="558"/>
      <c r="Y7" s="558"/>
      <c r="Z7" s="558"/>
      <c r="AA7" s="558"/>
      <c r="AB7" s="559"/>
      <c r="AC7" s="129"/>
      <c r="AD7" s="557" t="s">
        <v>12</v>
      </c>
      <c r="AE7" s="558"/>
      <c r="AF7" s="558"/>
      <c r="AG7" s="558"/>
      <c r="AH7" s="572" t="s">
        <v>13</v>
      </c>
      <c r="AI7" s="573"/>
      <c r="AJ7" s="574"/>
      <c r="AK7" s="129"/>
      <c r="AL7" s="563" t="s">
        <v>14</v>
      </c>
      <c r="AM7" s="564"/>
      <c r="AN7" s="564"/>
      <c r="AO7" s="565"/>
      <c r="AP7" s="129"/>
      <c r="AQ7" s="554" t="s">
        <v>15</v>
      </c>
      <c r="AR7" s="555"/>
      <c r="AS7" s="555"/>
      <c r="AT7" s="555"/>
      <c r="AU7" s="555"/>
      <c r="AV7" s="556"/>
      <c r="AW7" s="129"/>
      <c r="AX7" s="560" t="s">
        <v>16</v>
      </c>
      <c r="AY7" s="561"/>
      <c r="AZ7" s="561"/>
      <c r="BA7" s="561"/>
      <c r="BB7" s="561"/>
      <c r="BC7" s="561"/>
      <c r="BD7" s="562"/>
      <c r="BE7" s="129"/>
      <c r="BF7" s="552" t="s">
        <v>17</v>
      </c>
      <c r="BG7" s="553"/>
      <c r="BH7" s="553"/>
      <c r="BI7" s="553"/>
      <c r="BJ7" s="553"/>
      <c r="BK7" s="129"/>
      <c r="BL7" s="554" t="s">
        <v>18</v>
      </c>
      <c r="BM7" s="555"/>
      <c r="BN7" s="555"/>
      <c r="BO7" s="556"/>
      <c r="BP7" s="129"/>
      <c r="BQ7" s="554" t="s">
        <v>105</v>
      </c>
      <c r="BR7" s="555"/>
      <c r="BS7" s="555"/>
      <c r="BT7" s="555"/>
      <c r="BU7" s="555"/>
      <c r="BV7" s="556"/>
    </row>
    <row r="8" spans="2:74" s="3" customFormat="1" ht="15.75" thickBot="1" x14ac:dyDescent="0.3">
      <c r="B8" s="33" t="s">
        <v>19</v>
      </c>
      <c r="C8" s="20" t="s">
        <v>20</v>
      </c>
      <c r="D8" s="83" t="s">
        <v>21</v>
      </c>
      <c r="E8" s="30" t="s">
        <v>22</v>
      </c>
      <c r="F8" s="538" t="s">
        <v>115</v>
      </c>
      <c r="G8" s="228" t="s">
        <v>23</v>
      </c>
      <c r="H8" s="118"/>
      <c r="I8" s="482" t="s">
        <v>24</v>
      </c>
      <c r="J8" s="25" t="s">
        <v>25</v>
      </c>
      <c r="K8" s="265" t="s">
        <v>26</v>
      </c>
      <c r="L8" s="152" t="s">
        <v>24</v>
      </c>
      <c r="M8" s="25" t="s">
        <v>25</v>
      </c>
      <c r="N8" s="265" t="s">
        <v>26</v>
      </c>
      <c r="O8" s="118"/>
      <c r="P8" s="122" t="s">
        <v>27</v>
      </c>
      <c r="Q8" s="141" t="s">
        <v>9</v>
      </c>
      <c r="R8" s="141" t="s">
        <v>28</v>
      </c>
      <c r="S8" s="211" t="s">
        <v>26</v>
      </c>
      <c r="T8" s="118"/>
      <c r="U8" s="122" t="s">
        <v>29</v>
      </c>
      <c r="V8" s="24" t="s">
        <v>30</v>
      </c>
      <c r="W8" s="83" t="s">
        <v>31</v>
      </c>
      <c r="X8" s="211" t="s">
        <v>32</v>
      </c>
      <c r="Y8" s="21" t="s">
        <v>27</v>
      </c>
      <c r="Z8" s="141" t="s">
        <v>9</v>
      </c>
      <c r="AA8" s="141" t="s">
        <v>28</v>
      </c>
      <c r="AB8" s="211" t="s">
        <v>26</v>
      </c>
      <c r="AC8" s="130"/>
      <c r="AD8" s="122" t="s">
        <v>23</v>
      </c>
      <c r="AE8" s="26" t="s">
        <v>33</v>
      </c>
      <c r="AF8" s="27" t="s">
        <v>34</v>
      </c>
      <c r="AG8" s="22" t="s">
        <v>35</v>
      </c>
      <c r="AH8" s="28" t="s">
        <v>36</v>
      </c>
      <c r="AI8" s="29" t="s">
        <v>37</v>
      </c>
      <c r="AJ8" s="30" t="s">
        <v>38</v>
      </c>
      <c r="AK8" s="130"/>
      <c r="AL8" s="180">
        <v>2013</v>
      </c>
      <c r="AM8" s="163">
        <v>2014</v>
      </c>
      <c r="AN8" s="24" t="s">
        <v>39</v>
      </c>
      <c r="AO8" s="30" t="s">
        <v>40</v>
      </c>
      <c r="AP8" s="130"/>
      <c r="AQ8" s="180">
        <v>2013</v>
      </c>
      <c r="AR8" s="163">
        <v>2014</v>
      </c>
      <c r="AS8" s="24" t="s">
        <v>39</v>
      </c>
      <c r="AT8" s="83" t="s">
        <v>40</v>
      </c>
      <c r="AU8" s="23" t="s">
        <v>29</v>
      </c>
      <c r="AV8" s="228" t="s">
        <v>41</v>
      </c>
      <c r="AW8" s="130"/>
      <c r="AX8" s="28" t="s">
        <v>42</v>
      </c>
      <c r="AY8" s="29" t="s">
        <v>43</v>
      </c>
      <c r="AZ8" s="83" t="s">
        <v>44</v>
      </c>
      <c r="BA8" s="30" t="s">
        <v>45</v>
      </c>
      <c r="BB8" s="21" t="s">
        <v>46</v>
      </c>
      <c r="BC8" s="23" t="s">
        <v>29</v>
      </c>
      <c r="BD8" s="225" t="s">
        <v>47</v>
      </c>
      <c r="BE8" s="130"/>
      <c r="BF8" s="23" t="s">
        <v>23</v>
      </c>
      <c r="BG8" s="24" t="s">
        <v>48</v>
      </c>
      <c r="BH8" s="24" t="s">
        <v>49</v>
      </c>
      <c r="BI8" s="24" t="s">
        <v>50</v>
      </c>
      <c r="BJ8" s="30" t="s">
        <v>106</v>
      </c>
      <c r="BK8" s="130"/>
      <c r="BL8" s="122" t="s">
        <v>51</v>
      </c>
      <c r="BM8" s="122" t="s">
        <v>52</v>
      </c>
      <c r="BN8" s="23" t="s">
        <v>29</v>
      </c>
      <c r="BO8" s="228" t="s">
        <v>53</v>
      </c>
      <c r="BP8" s="130"/>
      <c r="BQ8" s="122" t="s">
        <v>54</v>
      </c>
      <c r="BR8" s="24" t="s">
        <v>55</v>
      </c>
      <c r="BS8" s="83" t="s">
        <v>56</v>
      </c>
      <c r="BT8" s="30" t="s">
        <v>46</v>
      </c>
      <c r="BU8" s="23" t="s">
        <v>29</v>
      </c>
      <c r="BV8" s="228" t="s">
        <v>41</v>
      </c>
    </row>
    <row r="9" spans="2:74" s="3" customFormat="1" ht="7.5" customHeight="1" thickBot="1" x14ac:dyDescent="0.3">
      <c r="B9" s="18"/>
      <c r="C9" s="6"/>
      <c r="D9" s="7"/>
      <c r="E9" s="7"/>
      <c r="F9" s="7"/>
      <c r="G9" s="7"/>
      <c r="H9" s="36"/>
      <c r="I9" s="8"/>
      <c r="J9" s="8"/>
      <c r="K9" s="8"/>
      <c r="L9" s="8"/>
      <c r="M9" s="8"/>
      <c r="N9" s="8"/>
      <c r="O9" s="36"/>
      <c r="P9" s="6"/>
      <c r="Q9" s="6"/>
      <c r="R9" s="6"/>
      <c r="S9" s="6"/>
      <c r="T9" s="36"/>
      <c r="U9" s="304"/>
      <c r="V9" s="304"/>
      <c r="W9" s="304"/>
      <c r="X9" s="304"/>
      <c r="Y9" s="304"/>
      <c r="Z9" s="304"/>
      <c r="AA9" s="304"/>
      <c r="AB9" s="304"/>
      <c r="AC9" s="6"/>
      <c r="AD9" s="6"/>
      <c r="AE9" s="6"/>
      <c r="AF9" s="6"/>
      <c r="AG9" s="6"/>
      <c r="AH9" s="6"/>
      <c r="AI9" s="9"/>
      <c r="AJ9" s="7"/>
      <c r="AK9" s="6"/>
      <c r="AL9" s="7"/>
      <c r="AM9" s="7"/>
      <c r="AN9" s="7"/>
      <c r="AO9" s="7"/>
      <c r="AP9" s="6"/>
      <c r="AQ9" s="7"/>
      <c r="AR9" s="7"/>
      <c r="AS9" s="7"/>
      <c r="AT9" s="7"/>
      <c r="AU9" s="7"/>
      <c r="AV9" s="7"/>
      <c r="AW9" s="6"/>
      <c r="AX9" s="6"/>
      <c r="AY9" s="9"/>
      <c r="AZ9" s="7"/>
      <c r="BA9" s="7"/>
      <c r="BB9" s="7"/>
      <c r="BC9" s="7"/>
      <c r="BD9" s="7"/>
      <c r="BE9" s="6"/>
      <c r="BF9" s="7"/>
      <c r="BG9" s="7"/>
      <c r="BH9" s="7"/>
      <c r="BI9" s="7"/>
      <c r="BJ9" s="7"/>
      <c r="BK9" s="6"/>
      <c r="BL9" s="7"/>
      <c r="BM9" s="7"/>
      <c r="BN9" s="7"/>
      <c r="BO9" s="7"/>
      <c r="BP9" s="6"/>
      <c r="BQ9" s="7"/>
      <c r="BR9" s="7"/>
      <c r="BS9" s="7"/>
      <c r="BT9" s="7"/>
      <c r="BU9" s="7"/>
      <c r="BV9" s="7"/>
    </row>
    <row r="10" spans="2:74" s="3" customFormat="1" ht="15" x14ac:dyDescent="0.25">
      <c r="B10" s="116" t="s">
        <v>57</v>
      </c>
      <c r="C10" s="218" t="s">
        <v>108</v>
      </c>
      <c r="D10" s="223" t="s">
        <v>57</v>
      </c>
      <c r="E10" s="226" t="s">
        <v>57</v>
      </c>
      <c r="F10" s="230" t="s">
        <v>57</v>
      </c>
      <c r="G10" s="230" t="s">
        <v>57</v>
      </c>
      <c r="H10" s="119"/>
      <c r="I10" s="483" t="s">
        <v>57</v>
      </c>
      <c r="J10" s="39" t="s">
        <v>57</v>
      </c>
      <c r="K10" s="39" t="s">
        <v>57</v>
      </c>
      <c r="L10" s="153" t="s">
        <v>57</v>
      </c>
      <c r="M10" s="39" t="s">
        <v>57</v>
      </c>
      <c r="N10" s="39" t="s">
        <v>57</v>
      </c>
      <c r="O10" s="119"/>
      <c r="P10" s="123" t="s">
        <v>57</v>
      </c>
      <c r="Q10" s="142" t="s">
        <v>57</v>
      </c>
      <c r="R10" s="142" t="s">
        <v>57</v>
      </c>
      <c r="S10" s="212" t="s">
        <v>57</v>
      </c>
      <c r="T10" s="119"/>
      <c r="U10" s="123" t="s">
        <v>57</v>
      </c>
      <c r="V10" s="40" t="s">
        <v>57</v>
      </c>
      <c r="W10" s="142" t="s">
        <v>57</v>
      </c>
      <c r="X10" s="212" t="s">
        <v>57</v>
      </c>
      <c r="Y10" s="305" t="s">
        <v>57</v>
      </c>
      <c r="Z10" s="142" t="s">
        <v>57</v>
      </c>
      <c r="AA10" s="142" t="s">
        <v>57</v>
      </c>
      <c r="AB10" s="212" t="s">
        <v>57</v>
      </c>
      <c r="AC10" s="131"/>
      <c r="AD10" s="123">
        <f>SUM(AD11:AD14)</f>
        <v>424</v>
      </c>
      <c r="AE10" s="40">
        <f>SUM(AE11:AE14)</f>
        <v>417</v>
      </c>
      <c r="AF10" s="40" t="s">
        <v>57</v>
      </c>
      <c r="AG10" s="41">
        <f>SUM(AG11:AG14)</f>
        <v>7</v>
      </c>
      <c r="AH10" s="42">
        <f>SUM(AH11:AH14)</f>
        <v>108</v>
      </c>
      <c r="AI10" s="43">
        <f>SUM(AI11:AI14)</f>
        <v>59</v>
      </c>
      <c r="AJ10" s="44">
        <f>SUM(AJ11:AJ14)</f>
        <v>257</v>
      </c>
      <c r="AK10" s="131"/>
      <c r="AL10" s="167">
        <f>SUM(AL11:AL14)</f>
        <v>396</v>
      </c>
      <c r="AM10" s="173">
        <f>SUM(AM11:AM14)</f>
        <v>424</v>
      </c>
      <c r="AN10" s="474">
        <f>SUM(AN11:AN14)</f>
        <v>28</v>
      </c>
      <c r="AO10" s="475">
        <f>AN10/AL10</f>
        <v>7.0707070707070704E-2</v>
      </c>
      <c r="AP10" s="131"/>
      <c r="AQ10" s="167">
        <f>SUM(AQ11:AQ14)</f>
        <v>236</v>
      </c>
      <c r="AR10" s="173">
        <f>SUM(AR11:AR14)</f>
        <v>257</v>
      </c>
      <c r="AS10" s="474">
        <f>SUM(AS11:AS14)</f>
        <v>21</v>
      </c>
      <c r="AT10" s="475">
        <f>AS10/AQ10</f>
        <v>8.8983050847457626E-2</v>
      </c>
      <c r="AU10" s="104" t="s">
        <v>57</v>
      </c>
      <c r="AV10" s="41" t="s">
        <v>57</v>
      </c>
      <c r="AW10" s="131"/>
      <c r="AX10" s="181" t="s">
        <v>57</v>
      </c>
      <c r="AY10" s="43" t="s">
        <v>57</v>
      </c>
      <c r="AZ10" s="84" t="s">
        <v>57</v>
      </c>
      <c r="BA10" s="44" t="s">
        <v>57</v>
      </c>
      <c r="BB10" s="104" t="s">
        <v>57</v>
      </c>
      <c r="BC10" s="104" t="s">
        <v>57</v>
      </c>
      <c r="BD10" s="41" t="s">
        <v>57</v>
      </c>
      <c r="BE10" s="131"/>
      <c r="BF10" s="104" t="s">
        <v>57</v>
      </c>
      <c r="BG10" s="98" t="s">
        <v>57</v>
      </c>
      <c r="BH10" s="92" t="s">
        <v>57</v>
      </c>
      <c r="BI10" s="92" t="s">
        <v>57</v>
      </c>
      <c r="BJ10" s="92" t="s">
        <v>57</v>
      </c>
      <c r="BK10" s="131"/>
      <c r="BL10" s="336">
        <f>SUM(BL11:BL14)</f>
        <v>40</v>
      </c>
      <c r="BM10" s="293" t="s">
        <v>57</v>
      </c>
      <c r="BN10" s="162" t="s">
        <v>57</v>
      </c>
      <c r="BO10" s="194" t="s">
        <v>57</v>
      </c>
      <c r="BP10" s="131"/>
      <c r="BQ10" s="167" t="s">
        <v>57</v>
      </c>
      <c r="BR10" s="84" t="s">
        <v>57</v>
      </c>
      <c r="BS10" s="92">
        <f>AQ10</f>
        <v>236</v>
      </c>
      <c r="BT10" s="194" t="s">
        <v>57</v>
      </c>
      <c r="BU10" s="104" t="s">
        <v>57</v>
      </c>
      <c r="BV10" s="41" t="s">
        <v>57</v>
      </c>
    </row>
    <row r="11" spans="2:74" s="3" customFormat="1" ht="15" x14ac:dyDescent="0.25">
      <c r="B11" s="201" t="s">
        <v>58</v>
      </c>
      <c r="C11" s="219" t="s">
        <v>59</v>
      </c>
      <c r="D11" s="232">
        <f>S11</f>
        <v>34584</v>
      </c>
      <c r="E11" s="233">
        <f>AB11</f>
        <v>11375</v>
      </c>
      <c r="F11" s="539">
        <f>'Mimořádná nadstavba 2014'!F11</f>
        <v>5337</v>
      </c>
      <c r="G11" s="252">
        <f>D11+E11</f>
        <v>45959</v>
      </c>
      <c r="H11" s="117"/>
      <c r="I11" s="484">
        <v>0</v>
      </c>
      <c r="J11" s="46">
        <v>0</v>
      </c>
      <c r="K11" s="80">
        <f>IF(J11="","",J11*5/100)</f>
        <v>0</v>
      </c>
      <c r="L11" s="155">
        <v>0</v>
      </c>
      <c r="M11" s="46">
        <v>0</v>
      </c>
      <c r="N11" s="80">
        <f>IF(M11="","",M11*5/100)</f>
        <v>0</v>
      </c>
      <c r="O11" s="117"/>
      <c r="P11" s="136">
        <f>$P$5*AH11+$P$5*2*AI11+$P$5*3*AJ11</f>
        <v>34584.406779661018</v>
      </c>
      <c r="Q11" s="266">
        <f>-P11*K11</f>
        <v>0</v>
      </c>
      <c r="R11" s="266">
        <f>P11+Q11</f>
        <v>34584.406779661018</v>
      </c>
      <c r="S11" s="269">
        <f>ROUND(R11,0)</f>
        <v>34584</v>
      </c>
      <c r="T11" s="117"/>
      <c r="U11" s="306">
        <f>SUM(AV11,BD11,BO11,BV11)</f>
        <v>78.617035936300198</v>
      </c>
      <c r="V11" s="307">
        <f>(U11/($U$38/21))-1</f>
        <v>0.37312214947566646</v>
      </c>
      <c r="W11" s="308">
        <f>U11*AD11</f>
        <v>14937.236827897037</v>
      </c>
      <c r="X11" s="309">
        <f>W11/$W$38</f>
        <v>0.11119748090065598</v>
      </c>
      <c r="Y11" s="310">
        <f>ROUND(X11*$Y$41,0)</f>
        <v>11375</v>
      </c>
      <c r="Z11" s="266">
        <f>-Y11*N11</f>
        <v>0</v>
      </c>
      <c r="AA11" s="266">
        <f>Y11+Z11</f>
        <v>11375</v>
      </c>
      <c r="AB11" s="269">
        <f>ROUND(AA11,0)</f>
        <v>11375</v>
      </c>
      <c r="AC11" s="45"/>
      <c r="AD11" s="124">
        <f>AE11+AG11</f>
        <v>190</v>
      </c>
      <c r="AE11" s="284">
        <v>184</v>
      </c>
      <c r="AF11" s="47">
        <v>1</v>
      </c>
      <c r="AG11" s="48">
        <v>6</v>
      </c>
      <c r="AH11" s="49">
        <v>61</v>
      </c>
      <c r="AI11" s="50">
        <v>19</v>
      </c>
      <c r="AJ11" s="51">
        <v>110</v>
      </c>
      <c r="AK11" s="45"/>
      <c r="AL11" s="168">
        <v>152</v>
      </c>
      <c r="AM11" s="175">
        <v>190</v>
      </c>
      <c r="AN11" s="164">
        <f>AM11-AL11</f>
        <v>38</v>
      </c>
      <c r="AO11" s="285">
        <f>AN11/AL11</f>
        <v>0.25</v>
      </c>
      <c r="AP11" s="45"/>
      <c r="AQ11" s="168">
        <v>78</v>
      </c>
      <c r="AR11" s="174">
        <v>110</v>
      </c>
      <c r="AS11" s="164">
        <f>AR11-AQ11</f>
        <v>32</v>
      </c>
      <c r="AT11" s="187">
        <f>AS11/AQ11</f>
        <v>0.41025641025641024</v>
      </c>
      <c r="AU11" s="214">
        <f>100*(AT11-MIN(AT$11:AT$14,AT$17:AT$17,AT$20:AT$28,AT$31:AT$36))/(MAX(AT$11:AT$14,AT$17:AT$17,AT$20:AT$28,AT$31:AT$36)-MIN(AT$11:AT$14,AT$17:AT$17,AT$20:AT$28,AT$31:AT$36))</f>
        <v>86.193293885601577</v>
      </c>
      <c r="AV11" s="279">
        <f>AU11*0.2</f>
        <v>17.238658777120317</v>
      </c>
      <c r="AW11" s="45"/>
      <c r="AX11" s="182">
        <f>BF11-AY11</f>
        <v>4</v>
      </c>
      <c r="AY11" s="50">
        <v>1</v>
      </c>
      <c r="AZ11" s="85">
        <f t="shared" ref="AZ11:AZ14" si="0">BG11-BA11</f>
        <v>3</v>
      </c>
      <c r="BA11" s="51">
        <v>0</v>
      </c>
      <c r="BB11" s="191">
        <f>(AX11+AZ11)/SUM(AX11:BA11)</f>
        <v>0.875</v>
      </c>
      <c r="BC11" s="214">
        <f>100*(BB11-MIN(BB$11:BB$14,BB$17:BB$17,BB$20:BB$28,BB$31:BB$36))/(MAX(BB$11:BB$14,BB$17:BB$17,BB$20:BB$28,BB$31:BB$36)-MIN(BB$11:BB$14,BB$17:BB$17,BB$20:BB$28,BB$31:BB$36))</f>
        <v>83.333333333333329</v>
      </c>
      <c r="BD11" s="279">
        <f>BC11*0.25</f>
        <v>20.833333333333332</v>
      </c>
      <c r="BE11" s="45"/>
      <c r="BF11" s="105">
        <f>SUM(BG11:BJ11)</f>
        <v>5</v>
      </c>
      <c r="BG11" s="99">
        <v>3</v>
      </c>
      <c r="BH11" s="93">
        <v>0</v>
      </c>
      <c r="BI11" s="93">
        <v>1</v>
      </c>
      <c r="BJ11" s="91">
        <v>1</v>
      </c>
      <c r="BK11" s="45"/>
      <c r="BL11" s="294">
        <v>13</v>
      </c>
      <c r="BM11" s="295">
        <v>4.46</v>
      </c>
      <c r="BN11" s="206">
        <f>100*(BM11-MIN(BM$11:BM$14,BM$17:BM$17,BM$20:BM$28,BM$31:BM$36))/(MAX(BM$11:BM$14,BM$17:BM$17,BM$20:BM$28,BM$31:BM$36)-MIN(BM$11:BM$14,BM$17:BM$17,BM$20:BM$28,BM$31:BM$36))</f>
        <v>87.109375</v>
      </c>
      <c r="BO11" s="279">
        <f>BN11*0.35</f>
        <v>30.488281249999996</v>
      </c>
      <c r="BP11" s="45"/>
      <c r="BQ11" s="168">
        <v>2</v>
      </c>
      <c r="BR11" s="200">
        <v>734</v>
      </c>
      <c r="BS11" s="93">
        <f>AQ11</f>
        <v>78</v>
      </c>
      <c r="BT11" s="196">
        <f>BR11/BS11/100</f>
        <v>9.410256410256411E-2</v>
      </c>
      <c r="BU11" s="206">
        <f>100*(BT11-MIN(BT$11:BT$14,BT$17:BT$17,BT$20:BT$28,BT$31:BT$36))/(MAX(BT$11:BT$14,BT$17:BT$17,BT$20:BT$28,BT$31:BT$36)-MIN(BT$11:BT$14,BT$17:BT$17,BT$20:BT$28,BT$31:BT$36))</f>
        <v>50.28381287923272</v>
      </c>
      <c r="BV11" s="279">
        <f>BU11*0.2</f>
        <v>10.056762575846545</v>
      </c>
    </row>
    <row r="12" spans="2:74" s="3" customFormat="1" ht="15" x14ac:dyDescent="0.25">
      <c r="B12" s="202" t="s">
        <v>60</v>
      </c>
      <c r="C12" s="220" t="s">
        <v>61</v>
      </c>
      <c r="D12" s="234">
        <f>S12</f>
        <v>12254</v>
      </c>
      <c r="E12" s="235">
        <f>AB12</f>
        <v>2245</v>
      </c>
      <c r="F12" s="540">
        <f>'Mimořádná nadstavba 2014'!F12</f>
        <v>1054</v>
      </c>
      <c r="G12" s="253">
        <f>D12+E12</f>
        <v>14499</v>
      </c>
      <c r="H12" s="120"/>
      <c r="I12" s="485">
        <v>0</v>
      </c>
      <c r="J12" s="157">
        <v>0</v>
      </c>
      <c r="K12" s="158">
        <f t="shared" ref="K12:K14" si="1">IF(J12="","",J12*5/100)</f>
        <v>0</v>
      </c>
      <c r="L12" s="156">
        <v>0</v>
      </c>
      <c r="M12" s="157">
        <v>0</v>
      </c>
      <c r="N12" s="158">
        <f t="shared" ref="N12:N14" si="2">IF(M12="","",M12*5/100)</f>
        <v>0</v>
      </c>
      <c r="O12" s="120"/>
      <c r="P12" s="137">
        <f t="shared" ref="P12:P14" si="3">$P$5*AH12+$P$5*2*AI12+$P$5*3*AJ12</f>
        <v>12253.682588597841</v>
      </c>
      <c r="Q12" s="330">
        <f>-P12*K12</f>
        <v>0</v>
      </c>
      <c r="R12" s="267">
        <f>P12+Q12</f>
        <v>12253.682588597841</v>
      </c>
      <c r="S12" s="270">
        <f t="shared" ref="S12:S14" si="4">ROUND(R12,0)</f>
        <v>12254</v>
      </c>
      <c r="T12" s="120"/>
      <c r="U12" s="311">
        <f>SUM(AV12,BD12,BO12,BV12)</f>
        <v>46.800783361702969</v>
      </c>
      <c r="V12" s="312">
        <f>(U12/($U$38/21))-1</f>
        <v>-0.18257930381862619</v>
      </c>
      <c r="W12" s="313">
        <f>U12*AD12</f>
        <v>2948.449351787287</v>
      </c>
      <c r="X12" s="314">
        <f>W12/$W$38</f>
        <v>2.1949182720970267E-2</v>
      </c>
      <c r="Y12" s="315">
        <f>ROUND(X12*$Y$41,0)</f>
        <v>2245</v>
      </c>
      <c r="Z12" s="330">
        <f>-Y12*N12</f>
        <v>0</v>
      </c>
      <c r="AA12" s="267">
        <f t="shared" ref="AA12:AA36" si="5">Y12+Z12</f>
        <v>2245</v>
      </c>
      <c r="AB12" s="270">
        <f t="shared" ref="AB12:AB36" si="6">ROUND(AA12,0)</f>
        <v>2245</v>
      </c>
      <c r="AC12" s="45"/>
      <c r="AD12" s="125">
        <f>AE12+AG12</f>
        <v>63</v>
      </c>
      <c r="AE12" s="53">
        <v>62</v>
      </c>
      <c r="AF12" s="53">
        <v>0</v>
      </c>
      <c r="AG12" s="54">
        <v>1</v>
      </c>
      <c r="AH12" s="55">
        <v>14</v>
      </c>
      <c r="AI12" s="56">
        <v>9</v>
      </c>
      <c r="AJ12" s="57">
        <v>40</v>
      </c>
      <c r="AK12" s="45"/>
      <c r="AL12" s="169">
        <v>66</v>
      </c>
      <c r="AM12" s="175">
        <v>63</v>
      </c>
      <c r="AN12" s="165">
        <f t="shared" ref="AN12:AN14" si="7">AM12-AL12</f>
        <v>-3</v>
      </c>
      <c r="AO12" s="286">
        <f t="shared" ref="AO12:AO14" si="8">AN12/AL12</f>
        <v>-4.5454545454545456E-2</v>
      </c>
      <c r="AP12" s="45"/>
      <c r="AQ12" s="169">
        <v>45</v>
      </c>
      <c r="AR12" s="175">
        <v>40</v>
      </c>
      <c r="AS12" s="165">
        <f t="shared" ref="AS12:AS14" si="9">AR12-AQ12</f>
        <v>-5</v>
      </c>
      <c r="AT12" s="188">
        <f t="shared" ref="AT12:AT14" si="10">AS12/AQ12</f>
        <v>-0.1111111111111111</v>
      </c>
      <c r="AU12" s="215">
        <f>100*(AT12-MIN(AT$11:AT$14,AT$17:AT$17,AT$20:AT$28,AT$31:AT$36))/(MAX(AT$11:AT$14,AT$17:AT$17,AT$20:AT$28,AT$31:AT$36)-MIN(AT$11:AT$14,AT$17:AT$17,AT$20:AT$28,AT$31:AT$36))</f>
        <v>5.982905982905983</v>
      </c>
      <c r="AV12" s="280">
        <f t="shared" ref="AV12:AV36" si="11">AU12*0.2</f>
        <v>1.1965811965811965</v>
      </c>
      <c r="AW12" s="45"/>
      <c r="AX12" s="183">
        <f t="shared" ref="AX12:AX14" si="12">BF12-AY12</f>
        <v>4</v>
      </c>
      <c r="AY12" s="56">
        <v>0</v>
      </c>
      <c r="AZ12" s="86">
        <f t="shared" si="0"/>
        <v>1</v>
      </c>
      <c r="BA12" s="57">
        <v>2</v>
      </c>
      <c r="BB12" s="191">
        <f>(AX12+AZ12)/SUM(AX12:BA12)</f>
        <v>0.7142857142857143</v>
      </c>
      <c r="BC12" s="215">
        <f>100*(BB12-MIN(BB$11:BB$14,BB$17:BB$17,BB$20:BB$28,BB$31:BB$36))/(MAX(BB$11:BB$14,BB$17:BB$17,BB$20:BB$28,BB$31:BB$36)-MIN(BB$11:BB$14,BB$17:BB$17,BB$20:BB$28,BB$31:BB$36))</f>
        <v>61.904761904761905</v>
      </c>
      <c r="BD12" s="280">
        <f t="shared" ref="BD12:BD36" si="13">BC12*0.25</f>
        <v>15.476190476190476</v>
      </c>
      <c r="BE12" s="45"/>
      <c r="BF12" s="106">
        <f>SUM(BG12:BJ12)</f>
        <v>4</v>
      </c>
      <c r="BG12" s="100">
        <v>3</v>
      </c>
      <c r="BH12" s="94">
        <v>1</v>
      </c>
      <c r="BI12" s="94">
        <v>0</v>
      </c>
      <c r="BJ12" s="57">
        <v>0</v>
      </c>
      <c r="BK12" s="45"/>
      <c r="BL12" s="296">
        <v>10</v>
      </c>
      <c r="BM12" s="297">
        <v>2.5</v>
      </c>
      <c r="BN12" s="207">
        <f>100*(BM12-MIN(BM$11:BM$14,BM$17:BM$17,BM$20:BM$28,BM$31:BM$36))/(MAX(BM$11:BM$14,BM$17:BM$17,BM$20:BM$28,BM$31:BM$36)-MIN(BM$11:BM$14,BM$17:BM$17,BM$20:BM$28,BM$31:BM$36))</f>
        <v>48.828125</v>
      </c>
      <c r="BO12" s="280">
        <f t="shared" ref="BO12:BO36" si="14">BN12*0.35</f>
        <v>17.08984375</v>
      </c>
      <c r="BP12" s="45"/>
      <c r="BQ12" s="169">
        <v>1</v>
      </c>
      <c r="BR12" s="86">
        <v>549</v>
      </c>
      <c r="BS12" s="94">
        <f>AQ12</f>
        <v>45</v>
      </c>
      <c r="BT12" s="197">
        <f>BR12/BS12/100</f>
        <v>0.122</v>
      </c>
      <c r="BU12" s="207">
        <f>100*(BT12-MIN(BT$11:BT$14,BT$17:BT$17,BT$20:BT$28,BT$31:BT$36))/(MAX(BT$11:BT$14,BT$17:BT$17,BT$20:BT$28,BT$31:BT$36)-MIN(BT$11:BT$14,BT$17:BT$17,BT$20:BT$28,BT$31:BT$36))</f>
        <v>65.190839694656475</v>
      </c>
      <c r="BV12" s="280">
        <f t="shared" ref="BV12:BV36" si="15">BU12*0.2</f>
        <v>13.038167938931295</v>
      </c>
    </row>
    <row r="13" spans="2:74" s="3" customFormat="1" ht="15" x14ac:dyDescent="0.25">
      <c r="B13" s="202" t="s">
        <v>62</v>
      </c>
      <c r="C13" s="220" t="s">
        <v>63</v>
      </c>
      <c r="D13" s="234">
        <f>S13</f>
        <v>11851</v>
      </c>
      <c r="E13" s="235">
        <f>AB13</f>
        <v>1979</v>
      </c>
      <c r="F13" s="540">
        <f>'Mimořádná nadstavba 2014'!F13</f>
        <v>929</v>
      </c>
      <c r="G13" s="253">
        <f>D13+E13</f>
        <v>13830</v>
      </c>
      <c r="H13" s="120"/>
      <c r="I13" s="485">
        <v>0</v>
      </c>
      <c r="J13" s="157">
        <v>0</v>
      </c>
      <c r="K13" s="158">
        <f t="shared" si="1"/>
        <v>0</v>
      </c>
      <c r="L13" s="156">
        <v>0</v>
      </c>
      <c r="M13" s="157">
        <v>0</v>
      </c>
      <c r="N13" s="158">
        <f t="shared" si="2"/>
        <v>0</v>
      </c>
      <c r="O13" s="120"/>
      <c r="P13" s="137">
        <f t="shared" si="3"/>
        <v>11850.600924499229</v>
      </c>
      <c r="Q13" s="330">
        <f>-P13*K13</f>
        <v>0</v>
      </c>
      <c r="R13" s="267">
        <f>P13+Q13</f>
        <v>11850.600924499229</v>
      </c>
      <c r="S13" s="270">
        <f t="shared" si="4"/>
        <v>11851</v>
      </c>
      <c r="T13" s="120"/>
      <c r="U13" s="311">
        <f>SUM(AV13,BD13,BO13,BV13)</f>
        <v>39.987668819729883</v>
      </c>
      <c r="V13" s="312">
        <f>(U13/($U$38/21))-1</f>
        <v>-0.30157690240626722</v>
      </c>
      <c r="W13" s="313">
        <f>U13*AD13</f>
        <v>2599.1984732824426</v>
      </c>
      <c r="X13" s="314">
        <f>W13/$W$38</f>
        <v>1.9349249524520617E-2</v>
      </c>
      <c r="Y13" s="315">
        <f>ROUND(X13*$Y$41,0)</f>
        <v>1979</v>
      </c>
      <c r="Z13" s="330">
        <f>-Y13*N13</f>
        <v>0</v>
      </c>
      <c r="AA13" s="267">
        <f t="shared" si="5"/>
        <v>1979</v>
      </c>
      <c r="AB13" s="270">
        <f t="shared" si="6"/>
        <v>1979</v>
      </c>
      <c r="AC13" s="45"/>
      <c r="AD13" s="125">
        <f>AE13+AG13</f>
        <v>65</v>
      </c>
      <c r="AE13" s="53">
        <v>65</v>
      </c>
      <c r="AF13" s="53">
        <v>0</v>
      </c>
      <c r="AG13" s="54">
        <v>0</v>
      </c>
      <c r="AH13" s="55">
        <v>17</v>
      </c>
      <c r="AI13" s="56">
        <v>14</v>
      </c>
      <c r="AJ13" s="57">
        <v>34</v>
      </c>
      <c r="AK13" s="45"/>
      <c r="AL13" s="169">
        <v>61</v>
      </c>
      <c r="AM13" s="175">
        <v>65</v>
      </c>
      <c r="AN13" s="165">
        <f t="shared" si="7"/>
        <v>4</v>
      </c>
      <c r="AO13" s="286">
        <f t="shared" si="8"/>
        <v>6.5573770491803282E-2</v>
      </c>
      <c r="AP13" s="45"/>
      <c r="AQ13" s="169">
        <v>30</v>
      </c>
      <c r="AR13" s="175">
        <v>34</v>
      </c>
      <c r="AS13" s="165">
        <f t="shared" si="9"/>
        <v>4</v>
      </c>
      <c r="AT13" s="188">
        <f t="shared" si="10"/>
        <v>0.13333333333333333</v>
      </c>
      <c r="AU13" s="215">
        <f>100*(AT13-MIN(AT$11:AT$14,AT$17:AT$17,AT$20:AT$28,AT$31:AT$36))/(MAX(AT$11:AT$14,AT$17:AT$17,AT$20:AT$28,AT$31:AT$36)-MIN(AT$11:AT$14,AT$17:AT$17,AT$20:AT$28,AT$31:AT$36))</f>
        <v>43.589743589743584</v>
      </c>
      <c r="AV13" s="280">
        <f t="shared" si="11"/>
        <v>8.7179487179487172</v>
      </c>
      <c r="AW13" s="45"/>
      <c r="AX13" s="183">
        <f t="shared" si="12"/>
        <v>4</v>
      </c>
      <c r="AY13" s="56">
        <v>0</v>
      </c>
      <c r="AZ13" s="86">
        <f>BG13-BA13</f>
        <v>2</v>
      </c>
      <c r="BA13" s="57">
        <v>0</v>
      </c>
      <c r="BB13" s="191">
        <f>(AX13+AZ13)/SUM(AX13:BA13)</f>
        <v>1</v>
      </c>
      <c r="BC13" s="215">
        <f>100*(BB13-MIN(BB$11:BB$14,BB$17:BB$17,BB$20:BB$28,BB$31:BB$36))/(MAX(BB$11:BB$14,BB$17:BB$17,BB$20:BB$28,BB$31:BB$36)-MIN(BB$11:BB$14,BB$17:BB$17,BB$20:BB$28,BB$31:BB$36))</f>
        <v>100</v>
      </c>
      <c r="BD13" s="280">
        <f t="shared" si="13"/>
        <v>25</v>
      </c>
      <c r="BE13" s="45"/>
      <c r="BF13" s="106">
        <f>SUM(BG13:BJ13)</f>
        <v>4</v>
      </c>
      <c r="BG13" s="100">
        <v>2</v>
      </c>
      <c r="BH13" s="94">
        <v>1</v>
      </c>
      <c r="BI13" s="94">
        <v>1</v>
      </c>
      <c r="BJ13" s="57">
        <v>0</v>
      </c>
      <c r="BK13" s="45"/>
      <c r="BL13" s="296">
        <v>0</v>
      </c>
      <c r="BM13" s="297">
        <v>0</v>
      </c>
      <c r="BN13" s="207">
        <f>100*(BM13-MIN(BM$11:BM$14,BM$17:BM$17,BM$20:BM$28,BM$31:BM$36))/(MAX(BM$11:BM$14,BM$17:BM$17,BM$20:BM$28,BM$31:BM$36)-MIN(BM$11:BM$14,BM$17:BM$17,BM$20:BM$28,BM$31:BM$36))</f>
        <v>0</v>
      </c>
      <c r="BO13" s="280">
        <f t="shared" si="14"/>
        <v>0</v>
      </c>
      <c r="BP13" s="45"/>
      <c r="BQ13" s="169">
        <v>1</v>
      </c>
      <c r="BR13" s="86">
        <v>176</v>
      </c>
      <c r="BS13" s="94">
        <f>AQ13</f>
        <v>30</v>
      </c>
      <c r="BT13" s="197">
        <f>BR13/BS13/100</f>
        <v>5.8666666666666666E-2</v>
      </c>
      <c r="BU13" s="207">
        <f>100*(BT13-MIN(BT$11:BT$14,BT$17:BT$17,BT$20:BT$28,BT$31:BT$36))/(MAX(BT$11:BT$14,BT$17:BT$17,BT$20:BT$28,BT$31:BT$36)-MIN(BT$11:BT$14,BT$17:BT$17,BT$20:BT$28,BT$31:BT$36))</f>
        <v>31.348600508905847</v>
      </c>
      <c r="BV13" s="280">
        <f t="shared" si="15"/>
        <v>6.2697201017811697</v>
      </c>
    </row>
    <row r="14" spans="2:74" s="3" customFormat="1" ht="15.75" thickBot="1" x14ac:dyDescent="0.3">
      <c r="B14" s="203" t="s">
        <v>64</v>
      </c>
      <c r="C14" s="221" t="s">
        <v>65</v>
      </c>
      <c r="D14" s="236">
        <f>S14</f>
        <v>21686</v>
      </c>
      <c r="E14" s="237">
        <f>AB14</f>
        <v>5276</v>
      </c>
      <c r="F14" s="541">
        <f>'Mimořádná nadstavba 2014'!F14</f>
        <v>2476</v>
      </c>
      <c r="G14" s="254">
        <f>D14+E14</f>
        <v>26962</v>
      </c>
      <c r="H14" s="120"/>
      <c r="I14" s="486">
        <v>0</v>
      </c>
      <c r="J14" s="160">
        <v>0</v>
      </c>
      <c r="K14" s="161">
        <f t="shared" si="1"/>
        <v>0</v>
      </c>
      <c r="L14" s="159">
        <v>0</v>
      </c>
      <c r="M14" s="160">
        <v>0</v>
      </c>
      <c r="N14" s="161">
        <f t="shared" si="2"/>
        <v>0</v>
      </c>
      <c r="O14" s="120"/>
      <c r="P14" s="138">
        <f t="shared" si="3"/>
        <v>21685.793528505394</v>
      </c>
      <c r="Q14" s="331">
        <f>-P14*K14</f>
        <v>0</v>
      </c>
      <c r="R14" s="268">
        <f>P14+Q14</f>
        <v>21685.793528505394</v>
      </c>
      <c r="S14" s="271">
        <f t="shared" si="4"/>
        <v>21686</v>
      </c>
      <c r="T14" s="120"/>
      <c r="U14" s="316">
        <f>SUM(AV14,BD14,BO14,BV14)</f>
        <v>65.367885058862711</v>
      </c>
      <c r="V14" s="317">
        <f>(U14/($U$38/21))-1</f>
        <v>0.14171298586518533</v>
      </c>
      <c r="W14" s="318">
        <f>U14*AD14</f>
        <v>6928.9958162394478</v>
      </c>
      <c r="X14" s="319">
        <f>W14/$W$38</f>
        <v>5.1581620403717297E-2</v>
      </c>
      <c r="Y14" s="320">
        <f>ROUND(X14*$Y$41,0)</f>
        <v>5276</v>
      </c>
      <c r="Z14" s="331">
        <f>-Y14*N14</f>
        <v>0</v>
      </c>
      <c r="AA14" s="268">
        <f t="shared" si="5"/>
        <v>5276</v>
      </c>
      <c r="AB14" s="271">
        <f t="shared" si="6"/>
        <v>5276</v>
      </c>
      <c r="AC14" s="45"/>
      <c r="AD14" s="126">
        <f>AE14+AG14</f>
        <v>106</v>
      </c>
      <c r="AE14" s="59">
        <v>106</v>
      </c>
      <c r="AF14" s="59">
        <v>0</v>
      </c>
      <c r="AG14" s="60">
        <v>0</v>
      </c>
      <c r="AH14" s="61">
        <v>16</v>
      </c>
      <c r="AI14" s="62">
        <v>17</v>
      </c>
      <c r="AJ14" s="63">
        <v>73</v>
      </c>
      <c r="AK14" s="45"/>
      <c r="AL14" s="170">
        <v>117</v>
      </c>
      <c r="AM14" s="176">
        <v>106</v>
      </c>
      <c r="AN14" s="166">
        <f t="shared" si="7"/>
        <v>-11</v>
      </c>
      <c r="AO14" s="287">
        <f t="shared" si="8"/>
        <v>-9.4017094017094016E-2</v>
      </c>
      <c r="AP14" s="45"/>
      <c r="AQ14" s="170">
        <v>83</v>
      </c>
      <c r="AR14" s="176">
        <v>73</v>
      </c>
      <c r="AS14" s="166">
        <f t="shared" si="9"/>
        <v>-10</v>
      </c>
      <c r="AT14" s="189">
        <f t="shared" si="10"/>
        <v>-0.12048192771084337</v>
      </c>
      <c r="AU14" s="216">
        <f>100*(AT14-MIN(AT$11:AT$14,AT$17:AT$17,AT$20:AT$28,AT$31:AT$36))/(MAX(AT$11:AT$14,AT$17:AT$17,AT$20:AT$28,AT$31:AT$36)-MIN(AT$11:AT$14,AT$17:AT$17,AT$20:AT$28,AT$31:AT$36))</f>
        <v>4.5412418906394798</v>
      </c>
      <c r="AV14" s="281">
        <f t="shared" si="11"/>
        <v>0.90824837812789605</v>
      </c>
      <c r="AW14" s="45"/>
      <c r="AX14" s="184">
        <f t="shared" si="12"/>
        <v>5</v>
      </c>
      <c r="AY14" s="62">
        <v>0</v>
      </c>
      <c r="AZ14" s="87">
        <f t="shared" si="0"/>
        <v>3</v>
      </c>
      <c r="BA14" s="63">
        <v>1</v>
      </c>
      <c r="BB14" s="192">
        <f>(AX14+AZ14)/SUM(AX14:BA14)</f>
        <v>0.88888888888888884</v>
      </c>
      <c r="BC14" s="216">
        <f>100*(BB14-MIN(BB$11:BB$14,BB$17:BB$17,BB$20:BB$28,BB$31:BB$36))/(MAX(BB$11:BB$14,BB$17:BB$17,BB$20:BB$28,BB$31:BB$36)-MIN(BB$11:BB$14,BB$17:BB$17,BB$20:BB$28,BB$31:BB$36))</f>
        <v>85.185185185185176</v>
      </c>
      <c r="BD14" s="281">
        <f t="shared" si="13"/>
        <v>21.296296296296294</v>
      </c>
      <c r="BE14" s="45"/>
      <c r="BF14" s="107">
        <f>SUM(BG14:BJ14)</f>
        <v>5</v>
      </c>
      <c r="BG14" s="101">
        <v>4</v>
      </c>
      <c r="BH14" s="95">
        <v>0</v>
      </c>
      <c r="BI14" s="95">
        <v>1</v>
      </c>
      <c r="BJ14" s="63">
        <v>0</v>
      </c>
      <c r="BK14" s="45"/>
      <c r="BL14" s="298">
        <v>17</v>
      </c>
      <c r="BM14" s="299">
        <v>5.12</v>
      </c>
      <c r="BN14" s="208">
        <f>100*(BM14-MIN(BM$11:BM$14,BM$17:BM$17,BM$20:BM$28,BM$31:BM$36))/(MAX(BM$11:BM$14,BM$17:BM$17,BM$20:BM$28,BM$31:BM$36)-MIN(BM$11:BM$14,BM$17:BM$17,BM$20:BM$28,BM$31:BM$36))</f>
        <v>100</v>
      </c>
      <c r="BO14" s="281">
        <f t="shared" si="14"/>
        <v>35</v>
      </c>
      <c r="BP14" s="45"/>
      <c r="BQ14" s="170">
        <v>3</v>
      </c>
      <c r="BR14" s="87">
        <v>634</v>
      </c>
      <c r="BS14" s="95">
        <f>AQ14</f>
        <v>83</v>
      </c>
      <c r="BT14" s="198">
        <f>BR14/BS14/100</f>
        <v>7.63855421686747E-2</v>
      </c>
      <c r="BU14" s="208">
        <f>100*(BT14-MIN(BT$11:BT$14,BT$17:BT$17,BT$20:BT$28,BT$31:BT$36))/(MAX(BT$11:BT$14,BT$17:BT$17,BT$20:BT$28,BT$31:BT$36)-MIN(BT$11:BT$14,BT$17:BT$17,BT$20:BT$28,BT$31:BT$36))</f>
        <v>40.816701922192578</v>
      </c>
      <c r="BV14" s="281">
        <f t="shared" si="15"/>
        <v>8.1633403844385164</v>
      </c>
    </row>
    <row r="15" spans="2:74" s="3" customFormat="1" ht="7.5" customHeight="1" thickBot="1" x14ac:dyDescent="0.3">
      <c r="B15" s="204"/>
      <c r="C15" s="7"/>
      <c r="D15" s="34"/>
      <c r="E15" s="34"/>
      <c r="F15" s="34">
        <f>'Mimořádná nadstavba 2014'!F15</f>
        <v>0</v>
      </c>
      <c r="G15" s="3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64"/>
      <c r="AH15" s="6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6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291"/>
      <c r="BM15" s="289"/>
      <c r="BN15" s="45"/>
      <c r="BO15" s="45"/>
      <c r="BP15" s="45"/>
      <c r="BQ15" s="45"/>
      <c r="BR15" s="45"/>
      <c r="BS15" s="45"/>
      <c r="BT15" s="45"/>
      <c r="BU15" s="45"/>
      <c r="BV15" s="45"/>
    </row>
    <row r="16" spans="2:74" s="376" customFormat="1" ht="15" x14ac:dyDescent="0.25">
      <c r="B16" s="345" t="s">
        <v>57</v>
      </c>
      <c r="C16" s="346" t="s">
        <v>109</v>
      </c>
      <c r="D16" s="435" t="s">
        <v>57</v>
      </c>
      <c r="E16" s="436" t="s">
        <v>57</v>
      </c>
      <c r="F16" s="542" t="str">
        <f>'Mimořádná nadstavba 2014'!F16</f>
        <v>---</v>
      </c>
      <c r="G16" s="437" t="s">
        <v>57</v>
      </c>
      <c r="H16" s="347"/>
      <c r="I16" s="487" t="s">
        <v>57</v>
      </c>
      <c r="J16" s="433" t="s">
        <v>57</v>
      </c>
      <c r="K16" s="434" t="s">
        <v>57</v>
      </c>
      <c r="L16" s="442" t="s">
        <v>57</v>
      </c>
      <c r="M16" s="433" t="s">
        <v>57</v>
      </c>
      <c r="N16" s="434" t="s">
        <v>57</v>
      </c>
      <c r="O16" s="347"/>
      <c r="P16" s="348" t="s">
        <v>57</v>
      </c>
      <c r="Q16" s="353" t="s">
        <v>57</v>
      </c>
      <c r="R16" s="350" t="s">
        <v>57</v>
      </c>
      <c r="S16" s="445" t="s">
        <v>57</v>
      </c>
      <c r="T16" s="347"/>
      <c r="U16" s="348" t="s">
        <v>57</v>
      </c>
      <c r="V16" s="349" t="s">
        <v>57</v>
      </c>
      <c r="W16" s="350" t="s">
        <v>57</v>
      </c>
      <c r="X16" s="351" t="s">
        <v>57</v>
      </c>
      <c r="Y16" s="352" t="s">
        <v>57</v>
      </c>
      <c r="Z16" s="353" t="s">
        <v>57</v>
      </c>
      <c r="AA16" s="350" t="s">
        <v>57</v>
      </c>
      <c r="AB16" s="445" t="s">
        <v>57</v>
      </c>
      <c r="AC16" s="354"/>
      <c r="AD16" s="355">
        <f>SUM(AD17:AD17)</f>
        <v>234</v>
      </c>
      <c r="AE16" s="356">
        <f>SUM(AE17:AE17)</f>
        <v>231</v>
      </c>
      <c r="AF16" s="471" t="s">
        <v>57</v>
      </c>
      <c r="AG16" s="357">
        <f>SUM(AG17:AG17)</f>
        <v>3</v>
      </c>
      <c r="AH16" s="358">
        <f>SUM(AH17:AH17)</f>
        <v>65</v>
      </c>
      <c r="AI16" s="359">
        <f>SUM(AI17:AI17)</f>
        <v>36</v>
      </c>
      <c r="AJ16" s="360">
        <f>SUM(AJ17:AJ17)</f>
        <v>133</v>
      </c>
      <c r="AK16" s="354"/>
      <c r="AL16" s="361">
        <f>SUM(AL17)</f>
        <v>253</v>
      </c>
      <c r="AM16" s="362">
        <f>SUM(AM17)</f>
        <v>234</v>
      </c>
      <c r="AN16" s="363">
        <f>SUM(AN17)</f>
        <v>-19</v>
      </c>
      <c r="AO16" s="364">
        <f>AN16/AL16</f>
        <v>-7.5098814229249009E-2</v>
      </c>
      <c r="AP16" s="354"/>
      <c r="AQ16" s="361">
        <f>SUM(AQ17:AQ17)</f>
        <v>150</v>
      </c>
      <c r="AR16" s="362">
        <f>SUM(AR17:AR17)</f>
        <v>133</v>
      </c>
      <c r="AS16" s="363">
        <f>SUM(AS17:AS17)</f>
        <v>-17</v>
      </c>
      <c r="AT16" s="365">
        <f>AS16/AQ16</f>
        <v>-0.11333333333333333</v>
      </c>
      <c r="AU16" s="366" t="s">
        <v>57</v>
      </c>
      <c r="AV16" s="367" t="s">
        <v>57</v>
      </c>
      <c r="AW16" s="354"/>
      <c r="AX16" s="368" t="s">
        <v>57</v>
      </c>
      <c r="AY16" s="479" t="s">
        <v>57</v>
      </c>
      <c r="AZ16" s="374" t="s">
        <v>57</v>
      </c>
      <c r="BA16" s="480" t="s">
        <v>57</v>
      </c>
      <c r="BB16" s="369" t="s">
        <v>57</v>
      </c>
      <c r="BC16" s="366" t="s">
        <v>57</v>
      </c>
      <c r="BD16" s="367" t="s">
        <v>57</v>
      </c>
      <c r="BE16" s="354"/>
      <c r="BF16" s="366" t="s">
        <v>57</v>
      </c>
      <c r="BG16" s="370" t="s">
        <v>57</v>
      </c>
      <c r="BH16" s="371" t="s">
        <v>57</v>
      </c>
      <c r="BI16" s="371" t="s">
        <v>57</v>
      </c>
      <c r="BJ16" s="367" t="s">
        <v>57</v>
      </c>
      <c r="BK16" s="354"/>
      <c r="BL16" s="372">
        <f>SUM(BL17:BL17)</f>
        <v>51</v>
      </c>
      <c r="BM16" s="373">
        <v>3.33</v>
      </c>
      <c r="BN16" s="366" t="s">
        <v>57</v>
      </c>
      <c r="BO16" s="367" t="s">
        <v>57</v>
      </c>
      <c r="BP16" s="354"/>
      <c r="BQ16" s="361" t="s">
        <v>57</v>
      </c>
      <c r="BR16" s="374" t="s">
        <v>57</v>
      </c>
      <c r="BS16" s="371" t="s">
        <v>57</v>
      </c>
      <c r="BT16" s="375" t="s">
        <v>57</v>
      </c>
      <c r="BU16" s="366" t="s">
        <v>57</v>
      </c>
      <c r="BV16" s="367" t="s">
        <v>57</v>
      </c>
    </row>
    <row r="17" spans="2:74" s="332" customFormat="1" ht="15.75" thickBot="1" x14ac:dyDescent="0.3">
      <c r="B17" s="502" t="s">
        <v>102</v>
      </c>
      <c r="C17" s="503" t="s">
        <v>103</v>
      </c>
      <c r="D17" s="504">
        <f>S17</f>
        <v>43210</v>
      </c>
      <c r="E17" s="505">
        <f>AB17</f>
        <v>9575</v>
      </c>
      <c r="F17" s="543">
        <f>'Mimořádná nadstavba 2014'!F17</f>
        <v>4493</v>
      </c>
      <c r="G17" s="506">
        <f>D17+E17</f>
        <v>52785</v>
      </c>
      <c r="H17" s="451"/>
      <c r="I17" s="488">
        <v>0</v>
      </c>
      <c r="J17" s="160">
        <v>0</v>
      </c>
      <c r="K17" s="161">
        <f>IF(J17="","",J17*5/100)</f>
        <v>0</v>
      </c>
      <c r="L17" s="159">
        <v>0</v>
      </c>
      <c r="M17" s="160">
        <v>0</v>
      </c>
      <c r="N17" s="161">
        <f>IF(M17="","",M17*5/100)</f>
        <v>0</v>
      </c>
      <c r="O17" s="451"/>
      <c r="P17" s="138">
        <f>$P$5*AH17+$P$5*2*AI17+$P$5*3*AJ17</f>
        <v>43210.354391371337</v>
      </c>
      <c r="Q17" s="331">
        <f>-P17*K17</f>
        <v>0</v>
      </c>
      <c r="R17" s="268">
        <f>P17+Q17</f>
        <v>43210.354391371337</v>
      </c>
      <c r="S17" s="447">
        <f>ROUND(R17,0)</f>
        <v>43210</v>
      </c>
      <c r="T17" s="451"/>
      <c r="U17" s="507">
        <f>SUM(AV17,BD17,BO17,BV17)</f>
        <v>53.734043488119703</v>
      </c>
      <c r="V17" s="508">
        <f>(U17/($U$38/21))-1</f>
        <v>-6.1483247038094935E-2</v>
      </c>
      <c r="W17" s="509">
        <f>U17*AD17</f>
        <v>12573.76617622001</v>
      </c>
      <c r="X17" s="510">
        <f>W17/$W$38</f>
        <v>9.3603063293358962E-2</v>
      </c>
      <c r="Y17" s="511">
        <f>ROUND(X17*$Y$41,0)</f>
        <v>9575</v>
      </c>
      <c r="Z17" s="512">
        <f>-Y17*N17</f>
        <v>0</v>
      </c>
      <c r="AA17" s="513">
        <f t="shared" si="5"/>
        <v>9575</v>
      </c>
      <c r="AB17" s="514">
        <f t="shared" si="6"/>
        <v>9575</v>
      </c>
      <c r="AC17" s="45"/>
      <c r="AD17" s="515">
        <f>AE17+AG17</f>
        <v>234</v>
      </c>
      <c r="AE17" s="516">
        <v>231</v>
      </c>
      <c r="AF17" s="516">
        <v>1</v>
      </c>
      <c r="AG17" s="517">
        <v>3</v>
      </c>
      <c r="AH17" s="518">
        <v>65</v>
      </c>
      <c r="AI17" s="519">
        <v>36</v>
      </c>
      <c r="AJ17" s="520">
        <v>133</v>
      </c>
      <c r="AK17" s="45"/>
      <c r="AL17" s="521">
        <v>253</v>
      </c>
      <c r="AM17" s="522">
        <v>234</v>
      </c>
      <c r="AN17" s="523">
        <f>AM17-AL17</f>
        <v>-19</v>
      </c>
      <c r="AO17" s="524">
        <f>AN17/AL17</f>
        <v>-7.5098814229249009E-2</v>
      </c>
      <c r="AP17" s="45"/>
      <c r="AQ17" s="521">
        <v>150</v>
      </c>
      <c r="AR17" s="522">
        <v>133</v>
      </c>
      <c r="AS17" s="523">
        <f>AR17-AQ17</f>
        <v>-17</v>
      </c>
      <c r="AT17" s="525">
        <f>AS17/AQ17</f>
        <v>-0.11333333333333333</v>
      </c>
      <c r="AU17" s="526">
        <f>100*(AT17-MIN(AT$11:AT$14,AT$17:AT$17,AT$20:AT$28,AT$31:AT$36))/(MAX(AT$11:AT$14,AT$17:AT$17,AT$20:AT$28,AT$31:AT$36)-MIN(AT$11:AT$14,AT$17:AT$17,AT$20:AT$28,AT$31:AT$36))</f>
        <v>5.6410256410256405</v>
      </c>
      <c r="AV17" s="527">
        <f t="shared" si="11"/>
        <v>1.1282051282051282</v>
      </c>
      <c r="AW17" s="45"/>
      <c r="AX17" s="528">
        <f>BF17-AY17</f>
        <v>8</v>
      </c>
      <c r="AY17" s="519">
        <v>0</v>
      </c>
      <c r="AZ17" s="529">
        <f>BG17-BA17</f>
        <v>4</v>
      </c>
      <c r="BA17" s="520">
        <v>2</v>
      </c>
      <c r="BB17" s="530">
        <f>(AX17+AZ17)/SUM(AX17:BA17)</f>
        <v>0.8571428571428571</v>
      </c>
      <c r="BC17" s="526">
        <f>100*(BB17-MIN(BB$11:BB$14,BB$17:BB$17,BB$20:BB$28,BB$31:BB$36))/(MAX(BB$11:BB$14,BB$17:BB$17,BB$20:BB$28,BB$31:BB$36)-MIN(BB$11:BB$14,BB$17:BB$17,BB$20:BB$28,BB$31:BB$36))</f>
        <v>80.952380952380949</v>
      </c>
      <c r="BD17" s="527">
        <f t="shared" si="13"/>
        <v>20.238095238095237</v>
      </c>
      <c r="BE17" s="45"/>
      <c r="BF17" s="531">
        <f>SUM(BG17:BJ17)</f>
        <v>8</v>
      </c>
      <c r="BG17" s="532">
        <v>6</v>
      </c>
      <c r="BH17" s="533">
        <v>0</v>
      </c>
      <c r="BI17" s="533">
        <v>2</v>
      </c>
      <c r="BJ17" s="520">
        <v>0</v>
      </c>
      <c r="BK17" s="45"/>
      <c r="BL17" s="534">
        <v>51</v>
      </c>
      <c r="BM17" s="535">
        <v>3.33</v>
      </c>
      <c r="BN17" s="536">
        <f>100*(BM17-MIN(BM$11:BM$14,BM$17:BM$17,BM$20:BM$28,BM$31:BM$36))/(MAX(BM$11:BM$14,BM$17:BM$17,BM$20:BM$28,BM$31:BM$36)-MIN(BM$11:BM$14,BM$17:BM$17,BM$20:BM$28,BM$31:BM$36))</f>
        <v>65.0390625</v>
      </c>
      <c r="BO17" s="527">
        <f t="shared" si="14"/>
        <v>22.763671875</v>
      </c>
      <c r="BP17" s="45"/>
      <c r="BQ17" s="521">
        <v>2</v>
      </c>
      <c r="BR17" s="529">
        <v>1348</v>
      </c>
      <c r="BS17" s="533">
        <f>AQ17</f>
        <v>150</v>
      </c>
      <c r="BT17" s="537">
        <f>BR17/BS17/100</f>
        <v>8.9866666666666664E-2</v>
      </c>
      <c r="BU17" s="536">
        <f>100*(BT17-MIN(BT$11:BT$14,BT$17:BT$17,BT$20:BT$28,BT$31:BT$36))/(MAX(BT$11:BT$14,BT$17:BT$17,BT$20:BT$28,BT$31:BT$36)-MIN(BT$11:BT$14,BT$17:BT$17,BT$20:BT$28,BT$31:BT$36))</f>
        <v>48.020356234096681</v>
      </c>
      <c r="BV17" s="527">
        <f t="shared" si="15"/>
        <v>9.6040712468193377</v>
      </c>
    </row>
    <row r="18" spans="2:74" s="3" customFormat="1" ht="7.5" customHeight="1" thickBot="1" x14ac:dyDescent="0.3">
      <c r="B18" s="204"/>
      <c r="C18" s="7"/>
      <c r="D18" s="34"/>
      <c r="E18" s="34"/>
      <c r="F18" s="34"/>
      <c r="G18" s="3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64"/>
      <c r="AH18" s="6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6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291"/>
      <c r="BM18" s="289"/>
      <c r="BN18" s="45"/>
      <c r="BO18" s="45"/>
      <c r="BP18" s="45"/>
      <c r="BQ18" s="45"/>
      <c r="BR18" s="45"/>
      <c r="BS18" s="45"/>
      <c r="BT18" s="45"/>
      <c r="BU18" s="45"/>
      <c r="BV18" s="45"/>
    </row>
    <row r="19" spans="2:74" s="3" customFormat="1" ht="15" x14ac:dyDescent="0.25">
      <c r="B19" s="115" t="s">
        <v>57</v>
      </c>
      <c r="C19" s="222" t="s">
        <v>110</v>
      </c>
      <c r="D19" s="224" t="s">
        <v>57</v>
      </c>
      <c r="E19" s="227" t="s">
        <v>57</v>
      </c>
      <c r="F19" s="229" t="str">
        <f>'Mimořádná nadstavba 2014'!F19</f>
        <v>---</v>
      </c>
      <c r="G19" s="229" t="s">
        <v>57</v>
      </c>
      <c r="H19" s="119"/>
      <c r="I19" s="489" t="s">
        <v>57</v>
      </c>
      <c r="J19" s="66" t="s">
        <v>57</v>
      </c>
      <c r="K19" s="66" t="s">
        <v>57</v>
      </c>
      <c r="L19" s="154" t="s">
        <v>57</v>
      </c>
      <c r="M19" s="66" t="s">
        <v>57</v>
      </c>
      <c r="N19" s="66" t="s">
        <v>57</v>
      </c>
      <c r="O19" s="119"/>
      <c r="P19" s="127" t="s">
        <v>57</v>
      </c>
      <c r="Q19" s="143" t="s">
        <v>57</v>
      </c>
      <c r="R19" s="143" t="s">
        <v>57</v>
      </c>
      <c r="S19" s="213" t="s">
        <v>57</v>
      </c>
      <c r="T19" s="119"/>
      <c r="U19" s="127" t="s">
        <v>57</v>
      </c>
      <c r="V19" s="67" t="s">
        <v>57</v>
      </c>
      <c r="W19" s="143" t="s">
        <v>57</v>
      </c>
      <c r="X19" s="213" t="s">
        <v>57</v>
      </c>
      <c r="Y19" s="329" t="s">
        <v>57</v>
      </c>
      <c r="Z19" s="143" t="s">
        <v>57</v>
      </c>
      <c r="AA19" s="143" t="s">
        <v>57</v>
      </c>
      <c r="AB19" s="213" t="s">
        <v>57</v>
      </c>
      <c r="AC19" s="131"/>
      <c r="AD19" s="127">
        <f>SUM(AD20:AD28)</f>
        <v>728</v>
      </c>
      <c r="AE19" s="67">
        <f>SUM(AE20:AE28)</f>
        <v>723</v>
      </c>
      <c r="AF19" s="67" t="s">
        <v>57</v>
      </c>
      <c r="AG19" s="68">
        <f>SUM(AG20:AG28)</f>
        <v>5</v>
      </c>
      <c r="AH19" s="69">
        <f>SUM(AH20:AH28)</f>
        <v>194</v>
      </c>
      <c r="AI19" s="70">
        <f>SUM(AI20:AI28)</f>
        <v>98</v>
      </c>
      <c r="AJ19" s="71">
        <f>SUM(AJ20:AJ28)</f>
        <v>436</v>
      </c>
      <c r="AK19" s="131"/>
      <c r="AL19" s="171">
        <f>SUM(AL20:AL28)</f>
        <v>724</v>
      </c>
      <c r="AM19" s="177">
        <f>SUM(AM20:AM28)</f>
        <v>728</v>
      </c>
      <c r="AN19" s="476">
        <f>SUM(AN20:AN28)</f>
        <v>4</v>
      </c>
      <c r="AO19" s="477">
        <f>AN19/AL19</f>
        <v>5.5248618784530384E-3</v>
      </c>
      <c r="AP19" s="131"/>
      <c r="AQ19" s="171">
        <f>SUM(AQ20:AQ28)</f>
        <v>432</v>
      </c>
      <c r="AR19" s="177">
        <f>SUM(AR20:AR28)</f>
        <v>436</v>
      </c>
      <c r="AS19" s="476">
        <f>SUM(AS20:AS28)</f>
        <v>4</v>
      </c>
      <c r="AT19" s="478">
        <f>AS19/AQ19</f>
        <v>9.2592592592592587E-3</v>
      </c>
      <c r="AU19" s="108" t="s">
        <v>57</v>
      </c>
      <c r="AV19" s="68" t="s">
        <v>57</v>
      </c>
      <c r="AW19" s="131"/>
      <c r="AX19" s="185" t="s">
        <v>57</v>
      </c>
      <c r="AY19" s="70" t="s">
        <v>57</v>
      </c>
      <c r="AZ19" s="88" t="s">
        <v>57</v>
      </c>
      <c r="BA19" s="71" t="s">
        <v>57</v>
      </c>
      <c r="BB19" s="108" t="s">
        <v>57</v>
      </c>
      <c r="BC19" s="108" t="s">
        <v>57</v>
      </c>
      <c r="BD19" s="68" t="s">
        <v>57</v>
      </c>
      <c r="BE19" s="131"/>
      <c r="BF19" s="108" t="s">
        <v>57</v>
      </c>
      <c r="BG19" s="102" t="s">
        <v>57</v>
      </c>
      <c r="BH19" s="96" t="s">
        <v>57</v>
      </c>
      <c r="BI19" s="338" t="s">
        <v>57</v>
      </c>
      <c r="BJ19" s="71" t="s">
        <v>57</v>
      </c>
      <c r="BK19" s="131"/>
      <c r="BL19" s="300">
        <f>SUM(BL20:BL28)</f>
        <v>93</v>
      </c>
      <c r="BM19" s="301" t="s">
        <v>57</v>
      </c>
      <c r="BN19" s="108" t="s">
        <v>57</v>
      </c>
      <c r="BO19" s="68" t="s">
        <v>57</v>
      </c>
      <c r="BP19" s="131"/>
      <c r="BQ19" s="171" t="s">
        <v>57</v>
      </c>
      <c r="BR19" s="88" t="s">
        <v>57</v>
      </c>
      <c r="BS19" s="96">
        <f t="shared" ref="BS19:BS28" si="16">AQ19</f>
        <v>432</v>
      </c>
      <c r="BT19" s="195" t="s">
        <v>57</v>
      </c>
      <c r="BU19" s="108" t="s">
        <v>57</v>
      </c>
      <c r="BV19" s="68" t="s">
        <v>57</v>
      </c>
    </row>
    <row r="20" spans="2:74" s="3" customFormat="1" ht="15" x14ac:dyDescent="0.25">
      <c r="B20" s="201" t="s">
        <v>66</v>
      </c>
      <c r="C20" s="219" t="s">
        <v>67</v>
      </c>
      <c r="D20" s="232">
        <f>S20</f>
        <v>16849</v>
      </c>
      <c r="E20" s="233">
        <f>AB20</f>
        <v>4983</v>
      </c>
      <c r="F20" s="539">
        <f>'Mimořádná nadstavba 2014'!F20</f>
        <v>2338</v>
      </c>
      <c r="G20" s="255">
        <f>D20+E20</f>
        <v>21832</v>
      </c>
      <c r="H20" s="117"/>
      <c r="I20" s="484">
        <v>0</v>
      </c>
      <c r="J20" s="46">
        <v>0</v>
      </c>
      <c r="K20" s="80">
        <f>IF(J20="","",J20*5/100)</f>
        <v>0</v>
      </c>
      <c r="L20" s="155">
        <v>0</v>
      </c>
      <c r="M20" s="46">
        <v>0</v>
      </c>
      <c r="N20" s="80">
        <f>IF(M20="","",M20*5/100)</f>
        <v>0</v>
      </c>
      <c r="O20" s="117"/>
      <c r="P20" s="136">
        <f>$P$5*AH20+$P$5*2*AI20+$P$5*3*AJ20</f>
        <v>16848.813559322032</v>
      </c>
      <c r="Q20" s="266">
        <f t="shared" ref="Q20:Q28" si="17">-P20*K20</f>
        <v>0</v>
      </c>
      <c r="R20" s="266">
        <f>P20+Q20</f>
        <v>16848.813559322032</v>
      </c>
      <c r="S20" s="272">
        <f>ROUND(R20,0)</f>
        <v>16849</v>
      </c>
      <c r="T20" s="117"/>
      <c r="U20" s="306">
        <f t="shared" ref="U20:U28" si="18">SUM(AV20,BD20,BO20,BV20)</f>
        <v>75.209741451722351</v>
      </c>
      <c r="V20" s="307">
        <f t="shared" ref="V20:V28" si="19">(U20/($U$38/21))-1</f>
        <v>0.31361047403739395</v>
      </c>
      <c r="W20" s="308">
        <f t="shared" ref="W20:W28" si="20">U20*AD20</f>
        <v>6543.2475062998446</v>
      </c>
      <c r="X20" s="309">
        <f t="shared" ref="X20:X28" si="21">W20/$W$38</f>
        <v>4.87099888683011E-2</v>
      </c>
      <c r="Y20" s="310">
        <f t="shared" ref="Y20:Y28" si="22">ROUND(X20*$Y$41,0)</f>
        <v>4983</v>
      </c>
      <c r="Z20" s="266">
        <f t="shared" ref="Z20:Z28" si="23">-Y20*N20</f>
        <v>0</v>
      </c>
      <c r="AA20" s="266">
        <f t="shared" si="5"/>
        <v>4983</v>
      </c>
      <c r="AB20" s="272">
        <f t="shared" si="6"/>
        <v>4983</v>
      </c>
      <c r="AC20" s="45"/>
      <c r="AD20" s="124">
        <f>AE20+AG20</f>
        <v>87</v>
      </c>
      <c r="AE20" s="284">
        <v>87</v>
      </c>
      <c r="AF20" s="47">
        <v>0</v>
      </c>
      <c r="AG20" s="48">
        <v>0</v>
      </c>
      <c r="AH20" s="49">
        <v>18</v>
      </c>
      <c r="AI20" s="50">
        <v>16</v>
      </c>
      <c r="AJ20" s="51">
        <v>53</v>
      </c>
      <c r="AK20" s="45"/>
      <c r="AL20" s="168">
        <v>85</v>
      </c>
      <c r="AM20" s="174">
        <v>87</v>
      </c>
      <c r="AN20" s="164">
        <f>AM20-AL20</f>
        <v>2</v>
      </c>
      <c r="AO20" s="285">
        <f>AN20/AL20</f>
        <v>2.3529411764705882E-2</v>
      </c>
      <c r="AP20" s="45"/>
      <c r="AQ20" s="168">
        <v>49</v>
      </c>
      <c r="AR20" s="174">
        <v>53</v>
      </c>
      <c r="AS20" s="164">
        <f>AR20-AQ20</f>
        <v>4</v>
      </c>
      <c r="AT20" s="187">
        <f>AS20/AQ20</f>
        <v>8.1632653061224483E-2</v>
      </c>
      <c r="AU20" s="214">
        <f t="shared" ref="AU20:AU28" si="24">100*(AT20-MIN(AT$11:AT$14,AT$17:AT$17,AT$20:AT$28,AT$31:AT$36))/(MAX(AT$11:AT$14,AT$17:AT$17,AT$20:AT$28,AT$31:AT$36)-MIN(AT$11:AT$14,AT$17:AT$17,AT$20:AT$28,AT$31:AT$36))</f>
        <v>35.635792778649915</v>
      </c>
      <c r="AV20" s="279">
        <f t="shared" si="11"/>
        <v>7.1271585557299835</v>
      </c>
      <c r="AW20" s="45"/>
      <c r="AX20" s="182">
        <f>BF20-AY20</f>
        <v>5</v>
      </c>
      <c r="AY20" s="50">
        <v>0</v>
      </c>
      <c r="AZ20" s="85">
        <f>BG20-BA20</f>
        <v>4</v>
      </c>
      <c r="BA20" s="51">
        <v>0</v>
      </c>
      <c r="BB20" s="191">
        <f>(AX20+AZ20)/SUM(AX20:BA20)</f>
        <v>1</v>
      </c>
      <c r="BC20" s="214">
        <f t="shared" ref="BC20:BC28" si="25">100*(BB20-MIN(BB$11:BB$14,BB$17:BB$17,BB$20:BB$28,BB$31:BB$36))/(MAX(BB$11:BB$14,BB$17:BB$17,BB$20:BB$28,BB$31:BB$36)-MIN(BB$11:BB$14,BB$17:BB$17,BB$20:BB$28,BB$31:BB$36))</f>
        <v>100</v>
      </c>
      <c r="BD20" s="279">
        <f t="shared" si="13"/>
        <v>25</v>
      </c>
      <c r="BE20" s="45"/>
      <c r="BF20" s="105">
        <f t="shared" ref="BF20:BF28" si="26">SUM(BG20:BJ20)</f>
        <v>5</v>
      </c>
      <c r="BG20" s="99">
        <v>4</v>
      </c>
      <c r="BH20" s="93">
        <v>0</v>
      </c>
      <c r="BI20" s="93">
        <v>1</v>
      </c>
      <c r="BJ20" s="91">
        <v>0</v>
      </c>
      <c r="BK20" s="45"/>
      <c r="BL20" s="294">
        <v>11</v>
      </c>
      <c r="BM20" s="295">
        <v>4.2699999999999996</v>
      </c>
      <c r="BN20" s="206">
        <f t="shared" ref="BN20:BN28" si="27">100*(BM20-MIN(BM$11:BM$14,BM$17:BM$17,BM$20:BM$28,BM$31:BM$36))/(MAX(BM$11:BM$14,BM$17:BM$17,BM$20:BM$28,BM$31:BM$36)-MIN(BM$11:BM$14,BM$17:BM$17,BM$20:BM$28,BM$31:BM$36))</f>
        <v>83.398437499999986</v>
      </c>
      <c r="BO20" s="279">
        <f t="shared" si="14"/>
        <v>29.189453124999993</v>
      </c>
      <c r="BP20" s="45"/>
      <c r="BQ20" s="168">
        <v>2</v>
      </c>
      <c r="BR20" s="200">
        <v>637</v>
      </c>
      <c r="BS20" s="93">
        <f t="shared" si="16"/>
        <v>49</v>
      </c>
      <c r="BT20" s="196">
        <f>BR20/BS20/100</f>
        <v>0.13</v>
      </c>
      <c r="BU20" s="206">
        <f t="shared" ref="BU20:BU28" si="28">100*(BT20-MIN(BT$11:BT$14,BT$17:BT$17,BT$20:BT$28,BT$31:BT$36))/(MAX(BT$11:BT$14,BT$17:BT$17,BT$20:BT$28,BT$31:BT$36)-MIN(BT$11:BT$14,BT$17:BT$17,BT$20:BT$28,BT$31:BT$36))</f>
        <v>69.465648854961827</v>
      </c>
      <c r="BV20" s="279">
        <f t="shared" si="15"/>
        <v>13.893129770992367</v>
      </c>
    </row>
    <row r="21" spans="2:74" s="3" customFormat="1" ht="15" x14ac:dyDescent="0.25">
      <c r="B21" s="202" t="s">
        <v>68</v>
      </c>
      <c r="C21" s="220" t="s">
        <v>69</v>
      </c>
      <c r="D21" s="238">
        <f>S21</f>
        <v>25152</v>
      </c>
      <c r="E21" s="239">
        <f>AB21</f>
        <v>6141</v>
      </c>
      <c r="F21" s="544">
        <f>'Mimořádná nadstavba 2014'!F21</f>
        <v>2882</v>
      </c>
      <c r="G21" s="256">
        <f>D21+E21</f>
        <v>31293</v>
      </c>
      <c r="H21" s="117"/>
      <c r="I21" s="490">
        <v>0</v>
      </c>
      <c r="J21" s="52">
        <v>0</v>
      </c>
      <c r="K21" s="81">
        <f t="shared" ref="K21:K28" si="29">IF(J21="","",J21*5/100)</f>
        <v>0</v>
      </c>
      <c r="L21" s="125">
        <v>0</v>
      </c>
      <c r="M21" s="52">
        <v>0</v>
      </c>
      <c r="N21" s="81">
        <f t="shared" ref="N21:N28" si="30">IF(M21="","",M21*5/100)</f>
        <v>0</v>
      </c>
      <c r="O21" s="117"/>
      <c r="P21" s="137">
        <f t="shared" ref="P21:P28" si="31">$P$5*AH21+$P$5*2*AI21+$P$5*3*AJ21</f>
        <v>25152.295839753468</v>
      </c>
      <c r="Q21" s="330">
        <f t="shared" si="17"/>
        <v>0</v>
      </c>
      <c r="R21" s="267">
        <f t="shared" ref="R21:R28" si="32">P21+Q21</f>
        <v>25152.295839753468</v>
      </c>
      <c r="S21" s="273">
        <f t="shared" ref="S21:S28" si="33">ROUND(R21,0)</f>
        <v>25152</v>
      </c>
      <c r="T21" s="117"/>
      <c r="U21" s="311">
        <f t="shared" si="18"/>
        <v>63.50095110539111</v>
      </c>
      <c r="V21" s="312">
        <f t="shared" si="19"/>
        <v>0.10910518867988905</v>
      </c>
      <c r="W21" s="313">
        <f t="shared" si="20"/>
        <v>8064.6207903846707</v>
      </c>
      <c r="X21" s="314">
        <f t="shared" si="21"/>
        <v>6.0035569271755677E-2</v>
      </c>
      <c r="Y21" s="315">
        <f t="shared" si="22"/>
        <v>6141</v>
      </c>
      <c r="Z21" s="330">
        <f t="shared" si="23"/>
        <v>0</v>
      </c>
      <c r="AA21" s="267">
        <f t="shared" si="5"/>
        <v>6141</v>
      </c>
      <c r="AB21" s="273">
        <f t="shared" si="6"/>
        <v>6141</v>
      </c>
      <c r="AC21" s="45"/>
      <c r="AD21" s="125">
        <f>AE21+AG21</f>
        <v>127</v>
      </c>
      <c r="AE21" s="53">
        <v>127</v>
      </c>
      <c r="AF21" s="53">
        <v>0</v>
      </c>
      <c r="AG21" s="54">
        <v>0</v>
      </c>
      <c r="AH21" s="55">
        <v>28</v>
      </c>
      <c r="AI21" s="56">
        <v>13</v>
      </c>
      <c r="AJ21" s="57">
        <v>86</v>
      </c>
      <c r="AK21" s="45"/>
      <c r="AL21" s="169">
        <v>125</v>
      </c>
      <c r="AM21" s="175">
        <v>127</v>
      </c>
      <c r="AN21" s="165">
        <f t="shared" ref="AN21:AN28" si="34">AM21-AL21</f>
        <v>2</v>
      </c>
      <c r="AO21" s="286">
        <f t="shared" ref="AO21:AO27" si="35">AN21/AL21</f>
        <v>1.6E-2</v>
      </c>
      <c r="AP21" s="45"/>
      <c r="AQ21" s="169">
        <v>88</v>
      </c>
      <c r="AR21" s="175">
        <v>86</v>
      </c>
      <c r="AS21" s="165">
        <f t="shared" ref="AS21:AS28" si="36">AR21-AQ21</f>
        <v>-2</v>
      </c>
      <c r="AT21" s="188">
        <f t="shared" ref="AT21:AT27" si="37">AS21/AQ21</f>
        <v>-2.2727272727272728E-2</v>
      </c>
      <c r="AU21" s="215">
        <f t="shared" si="24"/>
        <v>19.58041958041958</v>
      </c>
      <c r="AV21" s="280">
        <f t="shared" si="11"/>
        <v>3.9160839160839163</v>
      </c>
      <c r="AW21" s="45"/>
      <c r="AX21" s="183">
        <f t="shared" ref="AX21:AX28" si="38">BF21-AY21</f>
        <v>6</v>
      </c>
      <c r="AY21" s="56">
        <v>0</v>
      </c>
      <c r="AZ21" s="86">
        <f t="shared" ref="AZ21:AZ28" si="39">BG21-BA21</f>
        <v>3</v>
      </c>
      <c r="BA21" s="157">
        <v>1</v>
      </c>
      <c r="BB21" s="191">
        <f t="shared" ref="BB21:BB36" si="40">(AX21+AZ21)/SUM(AX21:BA21)</f>
        <v>0.9</v>
      </c>
      <c r="BC21" s="215">
        <f t="shared" si="25"/>
        <v>86.666666666666671</v>
      </c>
      <c r="BD21" s="280">
        <f t="shared" si="13"/>
        <v>21.666666666666668</v>
      </c>
      <c r="BE21" s="45"/>
      <c r="BF21" s="106">
        <f t="shared" si="26"/>
        <v>6</v>
      </c>
      <c r="BG21" s="100">
        <v>4</v>
      </c>
      <c r="BH21" s="94">
        <v>2</v>
      </c>
      <c r="BI21" s="94">
        <v>0</v>
      </c>
      <c r="BJ21" s="57">
        <v>0</v>
      </c>
      <c r="BK21" s="45"/>
      <c r="BL21" s="296">
        <v>19</v>
      </c>
      <c r="BM21" s="297">
        <v>3.63</v>
      </c>
      <c r="BN21" s="207">
        <f t="shared" si="27"/>
        <v>70.8984375</v>
      </c>
      <c r="BO21" s="280">
        <f t="shared" si="14"/>
        <v>24.814453125</v>
      </c>
      <c r="BP21" s="45"/>
      <c r="BQ21" s="169">
        <v>4</v>
      </c>
      <c r="BR21" s="86">
        <v>1079</v>
      </c>
      <c r="BS21" s="94">
        <f t="shared" si="16"/>
        <v>88</v>
      </c>
      <c r="BT21" s="197">
        <f t="shared" ref="BT21:BT27" si="41">BR21/BS21/100</f>
        <v>0.12261363636363637</v>
      </c>
      <c r="BU21" s="207">
        <f t="shared" si="28"/>
        <v>65.518736988202633</v>
      </c>
      <c r="BV21" s="280">
        <f t="shared" si="15"/>
        <v>13.103747397640527</v>
      </c>
    </row>
    <row r="22" spans="2:74" s="3" customFormat="1" ht="15" x14ac:dyDescent="0.25">
      <c r="B22" s="202" t="s">
        <v>70</v>
      </c>
      <c r="C22" s="220" t="s">
        <v>71</v>
      </c>
      <c r="D22" s="238">
        <f t="shared" ref="D22:D27" si="42">S22</f>
        <v>24266</v>
      </c>
      <c r="E22" s="239">
        <f t="shared" ref="E22:E27" si="43">AB22</f>
        <v>7821</v>
      </c>
      <c r="F22" s="544">
        <f>'Mimořádná nadstavba 2014'!F22</f>
        <v>3670</v>
      </c>
      <c r="G22" s="256">
        <f t="shared" ref="G22:G27" si="44">D22+E22</f>
        <v>32087</v>
      </c>
      <c r="H22" s="120"/>
      <c r="I22" s="485">
        <v>0</v>
      </c>
      <c r="J22" s="157">
        <v>0</v>
      </c>
      <c r="K22" s="158">
        <f t="shared" si="29"/>
        <v>0</v>
      </c>
      <c r="L22" s="156">
        <v>0</v>
      </c>
      <c r="M22" s="157">
        <v>0</v>
      </c>
      <c r="N22" s="158">
        <f t="shared" si="30"/>
        <v>0</v>
      </c>
      <c r="O22" s="120"/>
      <c r="P22" s="137">
        <f t="shared" si="31"/>
        <v>24265.516178736514</v>
      </c>
      <c r="Q22" s="267">
        <f t="shared" si="17"/>
        <v>0</v>
      </c>
      <c r="R22" s="267">
        <f t="shared" si="32"/>
        <v>24265.516178736514</v>
      </c>
      <c r="S22" s="273">
        <f t="shared" si="33"/>
        <v>24266</v>
      </c>
      <c r="T22" s="120"/>
      <c r="U22" s="311">
        <f t="shared" si="18"/>
        <v>80.870042669478551</v>
      </c>
      <c r="V22" s="312">
        <f t="shared" si="19"/>
        <v>0.4124730790979898</v>
      </c>
      <c r="W22" s="313">
        <f t="shared" si="20"/>
        <v>10270.495419023777</v>
      </c>
      <c r="X22" s="314">
        <f t="shared" si="21"/>
        <v>7.6456792601979323E-2</v>
      </c>
      <c r="Y22" s="315">
        <f t="shared" si="22"/>
        <v>7821</v>
      </c>
      <c r="Z22" s="267">
        <f t="shared" si="23"/>
        <v>0</v>
      </c>
      <c r="AA22" s="267">
        <f t="shared" si="5"/>
        <v>7821</v>
      </c>
      <c r="AB22" s="273">
        <f t="shared" si="6"/>
        <v>7821</v>
      </c>
      <c r="AC22" s="45"/>
      <c r="AD22" s="125">
        <f t="shared" ref="AD22:AD27" si="45">AE22+AG22</f>
        <v>127</v>
      </c>
      <c r="AE22" s="53">
        <v>127</v>
      </c>
      <c r="AF22" s="53">
        <v>0</v>
      </c>
      <c r="AG22" s="54">
        <v>0</v>
      </c>
      <c r="AH22" s="55">
        <v>32</v>
      </c>
      <c r="AI22" s="56">
        <v>16</v>
      </c>
      <c r="AJ22" s="57">
        <v>79</v>
      </c>
      <c r="AK22" s="45"/>
      <c r="AL22" s="169">
        <v>113</v>
      </c>
      <c r="AM22" s="175">
        <v>127</v>
      </c>
      <c r="AN22" s="165">
        <f t="shared" si="34"/>
        <v>14</v>
      </c>
      <c r="AO22" s="286">
        <f t="shared" si="35"/>
        <v>0.12389380530973451</v>
      </c>
      <c r="AP22" s="45"/>
      <c r="AQ22" s="169">
        <v>68</v>
      </c>
      <c r="AR22" s="175">
        <v>79</v>
      </c>
      <c r="AS22" s="165">
        <f t="shared" si="36"/>
        <v>11</v>
      </c>
      <c r="AT22" s="188">
        <f t="shared" si="37"/>
        <v>0.16176470588235295</v>
      </c>
      <c r="AU22" s="215">
        <f t="shared" si="24"/>
        <v>47.963800904977376</v>
      </c>
      <c r="AV22" s="280">
        <f t="shared" si="11"/>
        <v>9.5927601809954766</v>
      </c>
      <c r="AW22" s="45"/>
      <c r="AX22" s="183">
        <f t="shared" si="38"/>
        <v>5</v>
      </c>
      <c r="AY22" s="56">
        <v>0</v>
      </c>
      <c r="AZ22" s="86">
        <f t="shared" si="39"/>
        <v>3</v>
      </c>
      <c r="BA22" s="57">
        <v>1</v>
      </c>
      <c r="BB22" s="191">
        <f t="shared" si="40"/>
        <v>0.88888888888888884</v>
      </c>
      <c r="BC22" s="215">
        <f t="shared" si="25"/>
        <v>85.185185185185176</v>
      </c>
      <c r="BD22" s="280">
        <f t="shared" si="13"/>
        <v>21.296296296296294</v>
      </c>
      <c r="BE22" s="45"/>
      <c r="BF22" s="106">
        <f t="shared" si="26"/>
        <v>5</v>
      </c>
      <c r="BG22" s="100">
        <v>4</v>
      </c>
      <c r="BH22" s="94">
        <v>0</v>
      </c>
      <c r="BI22" s="94">
        <v>1</v>
      </c>
      <c r="BJ22" s="57">
        <v>0</v>
      </c>
      <c r="BK22" s="45"/>
      <c r="BL22" s="296">
        <v>11</v>
      </c>
      <c r="BM22" s="297">
        <v>4.6399999999999997</v>
      </c>
      <c r="BN22" s="207">
        <f t="shared" si="27"/>
        <v>90.624999999999986</v>
      </c>
      <c r="BO22" s="280">
        <f t="shared" si="14"/>
        <v>31.718749999999993</v>
      </c>
      <c r="BP22" s="45"/>
      <c r="BQ22" s="169">
        <v>1</v>
      </c>
      <c r="BR22" s="86">
        <v>1162</v>
      </c>
      <c r="BS22" s="94">
        <f t="shared" si="16"/>
        <v>68</v>
      </c>
      <c r="BT22" s="197">
        <f t="shared" si="41"/>
        <v>0.17088235294117649</v>
      </c>
      <c r="BU22" s="207">
        <f t="shared" si="28"/>
        <v>91.311180960933982</v>
      </c>
      <c r="BV22" s="280">
        <f t="shared" si="15"/>
        <v>18.262236192186798</v>
      </c>
    </row>
    <row r="23" spans="2:74" s="3" customFormat="1" ht="15" x14ac:dyDescent="0.25">
      <c r="B23" s="202" t="s">
        <v>72</v>
      </c>
      <c r="C23" s="220" t="s">
        <v>73</v>
      </c>
      <c r="D23" s="238">
        <f t="shared" si="42"/>
        <v>12657</v>
      </c>
      <c r="E23" s="239">
        <f t="shared" si="43"/>
        <v>3855</v>
      </c>
      <c r="F23" s="544">
        <f>'Mimořádná nadstavba 2014'!F23</f>
        <v>1809</v>
      </c>
      <c r="G23" s="256">
        <f t="shared" si="44"/>
        <v>16512</v>
      </c>
      <c r="H23" s="117"/>
      <c r="I23" s="490">
        <v>0</v>
      </c>
      <c r="J23" s="52">
        <v>0</v>
      </c>
      <c r="K23" s="81">
        <f t="shared" si="29"/>
        <v>0</v>
      </c>
      <c r="L23" s="125">
        <v>0</v>
      </c>
      <c r="M23" s="52">
        <v>0</v>
      </c>
      <c r="N23" s="81">
        <f t="shared" si="30"/>
        <v>0</v>
      </c>
      <c r="O23" s="117"/>
      <c r="P23" s="137">
        <f t="shared" si="31"/>
        <v>12656.764252696456</v>
      </c>
      <c r="Q23" s="267">
        <f t="shared" si="17"/>
        <v>0</v>
      </c>
      <c r="R23" s="267">
        <f t="shared" si="32"/>
        <v>12656.764252696456</v>
      </c>
      <c r="S23" s="273">
        <f t="shared" si="33"/>
        <v>12657</v>
      </c>
      <c r="T23" s="117"/>
      <c r="U23" s="311">
        <f t="shared" si="18"/>
        <v>65.754633495016961</v>
      </c>
      <c r="V23" s="312">
        <f t="shared" si="19"/>
        <v>0.14846791929193981</v>
      </c>
      <c r="W23" s="313">
        <f t="shared" si="20"/>
        <v>5063.1067791163059</v>
      </c>
      <c r="X23" s="314">
        <f t="shared" si="21"/>
        <v>3.7691356564507977E-2</v>
      </c>
      <c r="Y23" s="315">
        <f t="shared" si="22"/>
        <v>3855</v>
      </c>
      <c r="Z23" s="267">
        <f t="shared" si="23"/>
        <v>0</v>
      </c>
      <c r="AA23" s="267">
        <f t="shared" si="5"/>
        <v>3855</v>
      </c>
      <c r="AB23" s="273">
        <f t="shared" si="6"/>
        <v>3855</v>
      </c>
      <c r="AC23" s="45"/>
      <c r="AD23" s="125">
        <f t="shared" si="45"/>
        <v>77</v>
      </c>
      <c r="AE23" s="53">
        <v>77</v>
      </c>
      <c r="AF23" s="53">
        <v>0</v>
      </c>
      <c r="AG23" s="54">
        <v>0</v>
      </c>
      <c r="AH23" s="55">
        <v>31</v>
      </c>
      <c r="AI23" s="56">
        <v>12</v>
      </c>
      <c r="AJ23" s="57">
        <v>34</v>
      </c>
      <c r="AK23" s="45"/>
      <c r="AL23" s="169">
        <v>79</v>
      </c>
      <c r="AM23" s="175">
        <v>77</v>
      </c>
      <c r="AN23" s="165">
        <f t="shared" si="34"/>
        <v>-2</v>
      </c>
      <c r="AO23" s="286">
        <f t="shared" si="35"/>
        <v>-2.5316455696202531E-2</v>
      </c>
      <c r="AP23" s="45"/>
      <c r="AQ23" s="169">
        <v>40</v>
      </c>
      <c r="AR23" s="175">
        <v>34</v>
      </c>
      <c r="AS23" s="165">
        <f t="shared" si="36"/>
        <v>-6</v>
      </c>
      <c r="AT23" s="188">
        <f t="shared" si="37"/>
        <v>-0.15</v>
      </c>
      <c r="AU23" s="215">
        <f t="shared" si="24"/>
        <v>0</v>
      </c>
      <c r="AV23" s="280">
        <f t="shared" si="11"/>
        <v>0</v>
      </c>
      <c r="AW23" s="45"/>
      <c r="AX23" s="183">
        <f t="shared" si="38"/>
        <v>4</v>
      </c>
      <c r="AY23" s="90">
        <v>0</v>
      </c>
      <c r="AZ23" s="86">
        <f t="shared" si="39"/>
        <v>1</v>
      </c>
      <c r="BA23" s="157">
        <v>1</v>
      </c>
      <c r="BB23" s="191">
        <f t="shared" si="40"/>
        <v>0.83333333333333337</v>
      </c>
      <c r="BC23" s="215">
        <f t="shared" si="25"/>
        <v>77.777777777777786</v>
      </c>
      <c r="BD23" s="280">
        <f t="shared" si="13"/>
        <v>19.444444444444446</v>
      </c>
      <c r="BE23" s="45"/>
      <c r="BF23" s="106">
        <f t="shared" si="26"/>
        <v>4</v>
      </c>
      <c r="BG23" s="100">
        <v>2</v>
      </c>
      <c r="BH23" s="94">
        <v>1</v>
      </c>
      <c r="BI23" s="94">
        <v>1</v>
      </c>
      <c r="BJ23" s="57">
        <v>0</v>
      </c>
      <c r="BK23" s="45"/>
      <c r="BL23" s="296">
        <v>11</v>
      </c>
      <c r="BM23" s="297">
        <v>5.09</v>
      </c>
      <c r="BN23" s="207">
        <f t="shared" si="27"/>
        <v>99.4140625</v>
      </c>
      <c r="BO23" s="280">
        <f t="shared" si="14"/>
        <v>34.794921875</v>
      </c>
      <c r="BP23" s="45"/>
      <c r="BQ23" s="169">
        <v>2</v>
      </c>
      <c r="BR23" s="86">
        <v>431</v>
      </c>
      <c r="BS23" s="94">
        <f t="shared" si="16"/>
        <v>40</v>
      </c>
      <c r="BT23" s="197">
        <f t="shared" si="41"/>
        <v>0.10775</v>
      </c>
      <c r="BU23" s="207">
        <f t="shared" si="28"/>
        <v>57.57633587786259</v>
      </c>
      <c r="BV23" s="280">
        <f t="shared" si="15"/>
        <v>11.515267175572518</v>
      </c>
    </row>
    <row r="24" spans="2:74" s="3" customFormat="1" ht="15" x14ac:dyDescent="0.25">
      <c r="B24" s="202" t="s">
        <v>74</v>
      </c>
      <c r="C24" s="220" t="s">
        <v>75</v>
      </c>
      <c r="D24" s="238">
        <f t="shared" si="42"/>
        <v>22250</v>
      </c>
      <c r="E24" s="239">
        <f t="shared" si="43"/>
        <v>5881</v>
      </c>
      <c r="F24" s="544">
        <f>'Mimořádná nadstavba 2014'!F24</f>
        <v>2760</v>
      </c>
      <c r="G24" s="256">
        <f t="shared" si="44"/>
        <v>28131</v>
      </c>
      <c r="H24" s="117"/>
      <c r="I24" s="490">
        <v>0</v>
      </c>
      <c r="J24" s="52">
        <v>0</v>
      </c>
      <c r="K24" s="158">
        <f t="shared" si="29"/>
        <v>0</v>
      </c>
      <c r="L24" s="156">
        <v>0</v>
      </c>
      <c r="M24" s="157">
        <v>0</v>
      </c>
      <c r="N24" s="158">
        <f t="shared" si="30"/>
        <v>0</v>
      </c>
      <c r="O24" s="117"/>
      <c r="P24" s="137">
        <f t="shared" si="31"/>
        <v>22250.107858243449</v>
      </c>
      <c r="Q24" s="267">
        <f t="shared" si="17"/>
        <v>0</v>
      </c>
      <c r="R24" s="267">
        <f t="shared" si="32"/>
        <v>22250.107858243449</v>
      </c>
      <c r="S24" s="273">
        <f t="shared" si="33"/>
        <v>22250</v>
      </c>
      <c r="T24" s="117"/>
      <c r="U24" s="311">
        <f t="shared" si="18"/>
        <v>71.509602271571595</v>
      </c>
      <c r="V24" s="312">
        <f t="shared" si="19"/>
        <v>0.24898398432180047</v>
      </c>
      <c r="W24" s="313">
        <f t="shared" si="20"/>
        <v>7723.0370453297319</v>
      </c>
      <c r="X24" s="314">
        <f t="shared" si="21"/>
        <v>5.7492712624013238E-2</v>
      </c>
      <c r="Y24" s="315">
        <f t="shared" si="22"/>
        <v>5881</v>
      </c>
      <c r="Z24" s="267">
        <f t="shared" si="23"/>
        <v>0</v>
      </c>
      <c r="AA24" s="267">
        <f t="shared" si="5"/>
        <v>5881</v>
      </c>
      <c r="AB24" s="273">
        <f t="shared" si="6"/>
        <v>5881</v>
      </c>
      <c r="AC24" s="45"/>
      <c r="AD24" s="125">
        <f t="shared" si="45"/>
        <v>108</v>
      </c>
      <c r="AE24" s="53">
        <v>108</v>
      </c>
      <c r="AF24" s="53">
        <v>0</v>
      </c>
      <c r="AG24" s="54">
        <v>0</v>
      </c>
      <c r="AH24" s="55">
        <v>15</v>
      </c>
      <c r="AI24" s="56">
        <v>18</v>
      </c>
      <c r="AJ24" s="57">
        <v>75</v>
      </c>
      <c r="AK24" s="45"/>
      <c r="AL24" s="169">
        <v>121</v>
      </c>
      <c r="AM24" s="175">
        <v>108</v>
      </c>
      <c r="AN24" s="165">
        <f t="shared" si="34"/>
        <v>-13</v>
      </c>
      <c r="AO24" s="286">
        <f t="shared" si="35"/>
        <v>-0.10743801652892562</v>
      </c>
      <c r="AP24" s="45"/>
      <c r="AQ24" s="169">
        <v>83</v>
      </c>
      <c r="AR24" s="175">
        <v>75</v>
      </c>
      <c r="AS24" s="165">
        <f t="shared" si="36"/>
        <v>-8</v>
      </c>
      <c r="AT24" s="188">
        <f t="shared" si="37"/>
        <v>-9.6385542168674704E-2</v>
      </c>
      <c r="AU24" s="215">
        <f t="shared" si="24"/>
        <v>8.2483781278961992</v>
      </c>
      <c r="AV24" s="280">
        <f t="shared" si="11"/>
        <v>1.64967562557924</v>
      </c>
      <c r="AW24" s="45"/>
      <c r="AX24" s="183">
        <f t="shared" si="38"/>
        <v>3</v>
      </c>
      <c r="AY24" s="56">
        <v>0</v>
      </c>
      <c r="AZ24" s="86">
        <f t="shared" si="39"/>
        <v>3</v>
      </c>
      <c r="BA24" s="57">
        <v>0</v>
      </c>
      <c r="BB24" s="191">
        <f t="shared" si="40"/>
        <v>1</v>
      </c>
      <c r="BC24" s="215">
        <f t="shared" si="25"/>
        <v>100</v>
      </c>
      <c r="BD24" s="280">
        <f t="shared" si="13"/>
        <v>25</v>
      </c>
      <c r="BE24" s="45"/>
      <c r="BF24" s="106">
        <f t="shared" si="26"/>
        <v>3</v>
      </c>
      <c r="BG24" s="100">
        <v>3</v>
      </c>
      <c r="BH24" s="94">
        <v>0</v>
      </c>
      <c r="BI24" s="94">
        <v>0</v>
      </c>
      <c r="BJ24" s="57">
        <v>0</v>
      </c>
      <c r="BK24" s="45"/>
      <c r="BL24" s="296">
        <v>19</v>
      </c>
      <c r="BM24" s="297">
        <v>4.53</v>
      </c>
      <c r="BN24" s="207">
        <f t="shared" si="27"/>
        <v>88.4765625</v>
      </c>
      <c r="BO24" s="280">
        <f t="shared" si="14"/>
        <v>30.966796874999996</v>
      </c>
      <c r="BP24" s="45"/>
      <c r="BQ24" s="169">
        <v>2</v>
      </c>
      <c r="BR24" s="86">
        <v>1079</v>
      </c>
      <c r="BS24" s="94">
        <f t="shared" si="16"/>
        <v>83</v>
      </c>
      <c r="BT24" s="197">
        <f t="shared" si="41"/>
        <v>0.13</v>
      </c>
      <c r="BU24" s="207">
        <f t="shared" si="28"/>
        <v>69.465648854961827</v>
      </c>
      <c r="BV24" s="280">
        <f t="shared" si="15"/>
        <v>13.893129770992367</v>
      </c>
    </row>
    <row r="25" spans="2:74" s="3" customFormat="1" ht="15" x14ac:dyDescent="0.25">
      <c r="B25" s="202" t="s">
        <v>76</v>
      </c>
      <c r="C25" s="220" t="s">
        <v>77</v>
      </c>
      <c r="D25" s="238">
        <f t="shared" si="42"/>
        <v>13382</v>
      </c>
      <c r="E25" s="239">
        <f t="shared" si="43"/>
        <v>2889</v>
      </c>
      <c r="F25" s="544">
        <f>'Mimořádná nadstavba 2014'!F25</f>
        <v>1356</v>
      </c>
      <c r="G25" s="256">
        <f t="shared" si="44"/>
        <v>16271</v>
      </c>
      <c r="H25" s="117"/>
      <c r="I25" s="490">
        <v>0</v>
      </c>
      <c r="J25" s="52">
        <v>0</v>
      </c>
      <c r="K25" s="81">
        <f t="shared" si="29"/>
        <v>0</v>
      </c>
      <c r="L25" s="125">
        <v>0</v>
      </c>
      <c r="M25" s="52">
        <v>0</v>
      </c>
      <c r="N25" s="81">
        <f t="shared" si="30"/>
        <v>0</v>
      </c>
      <c r="O25" s="117"/>
      <c r="P25" s="137">
        <f t="shared" si="31"/>
        <v>13382.311248073958</v>
      </c>
      <c r="Q25" s="267">
        <f t="shared" si="17"/>
        <v>0</v>
      </c>
      <c r="R25" s="267">
        <f t="shared" si="32"/>
        <v>13382.311248073958</v>
      </c>
      <c r="S25" s="273">
        <f t="shared" si="33"/>
        <v>13382</v>
      </c>
      <c r="T25" s="117"/>
      <c r="U25" s="311">
        <f t="shared" si="18"/>
        <v>58.364401791293211</v>
      </c>
      <c r="V25" s="312">
        <f t="shared" si="19"/>
        <v>1.9390414381139198E-2</v>
      </c>
      <c r="W25" s="313">
        <f t="shared" si="20"/>
        <v>3793.6861164340589</v>
      </c>
      <c r="X25" s="314">
        <f t="shared" si="21"/>
        <v>2.8241390582186453E-2</v>
      </c>
      <c r="Y25" s="315">
        <f t="shared" si="22"/>
        <v>2889</v>
      </c>
      <c r="Z25" s="267">
        <f t="shared" si="23"/>
        <v>0</v>
      </c>
      <c r="AA25" s="267">
        <f t="shared" si="5"/>
        <v>2889</v>
      </c>
      <c r="AB25" s="273">
        <f t="shared" si="6"/>
        <v>2889</v>
      </c>
      <c r="AC25" s="45"/>
      <c r="AD25" s="125">
        <f t="shared" si="45"/>
        <v>65</v>
      </c>
      <c r="AE25" s="53">
        <v>65</v>
      </c>
      <c r="AF25" s="53">
        <v>0</v>
      </c>
      <c r="AG25" s="54">
        <v>0</v>
      </c>
      <c r="AH25" s="55">
        <v>10</v>
      </c>
      <c r="AI25" s="56">
        <v>9</v>
      </c>
      <c r="AJ25" s="57">
        <v>46</v>
      </c>
      <c r="AK25" s="45"/>
      <c r="AL25" s="169">
        <v>70</v>
      </c>
      <c r="AM25" s="175">
        <v>65</v>
      </c>
      <c r="AN25" s="165">
        <f t="shared" si="34"/>
        <v>-5</v>
      </c>
      <c r="AO25" s="286">
        <f t="shared" si="35"/>
        <v>-7.1428571428571425E-2</v>
      </c>
      <c r="AP25" s="45"/>
      <c r="AQ25" s="169">
        <v>52</v>
      </c>
      <c r="AR25" s="175">
        <v>46</v>
      </c>
      <c r="AS25" s="165">
        <f t="shared" si="36"/>
        <v>-6</v>
      </c>
      <c r="AT25" s="188">
        <f t="shared" si="37"/>
        <v>-0.11538461538461539</v>
      </c>
      <c r="AU25" s="215">
        <f t="shared" si="24"/>
        <v>5.3254437869822464</v>
      </c>
      <c r="AV25" s="280">
        <f t="shared" si="11"/>
        <v>1.0650887573964494</v>
      </c>
      <c r="AW25" s="45"/>
      <c r="AX25" s="183">
        <f t="shared" si="38"/>
        <v>4</v>
      </c>
      <c r="AY25" s="56">
        <v>0</v>
      </c>
      <c r="AZ25" s="86">
        <f t="shared" si="39"/>
        <v>2</v>
      </c>
      <c r="BA25" s="57">
        <v>1</v>
      </c>
      <c r="BB25" s="191">
        <f t="shared" si="40"/>
        <v>0.8571428571428571</v>
      </c>
      <c r="BC25" s="215">
        <f t="shared" si="25"/>
        <v>80.952380952380949</v>
      </c>
      <c r="BD25" s="280">
        <f t="shared" si="13"/>
        <v>20.238095238095237</v>
      </c>
      <c r="BE25" s="45"/>
      <c r="BF25" s="106">
        <f t="shared" si="26"/>
        <v>4</v>
      </c>
      <c r="BG25" s="100">
        <v>3</v>
      </c>
      <c r="BH25" s="94">
        <v>1</v>
      </c>
      <c r="BI25" s="94">
        <v>0</v>
      </c>
      <c r="BJ25" s="57">
        <v>0</v>
      </c>
      <c r="BK25" s="45"/>
      <c r="BL25" s="296">
        <v>9</v>
      </c>
      <c r="BM25" s="297">
        <v>3.78</v>
      </c>
      <c r="BN25" s="207">
        <f t="shared" si="27"/>
        <v>73.828125</v>
      </c>
      <c r="BO25" s="280">
        <f t="shared" si="14"/>
        <v>25.83984375</v>
      </c>
      <c r="BP25" s="45"/>
      <c r="BQ25" s="169">
        <v>1</v>
      </c>
      <c r="BR25" s="86">
        <v>546</v>
      </c>
      <c r="BS25" s="94">
        <f t="shared" si="16"/>
        <v>52</v>
      </c>
      <c r="BT25" s="197">
        <f t="shared" si="41"/>
        <v>0.105</v>
      </c>
      <c r="BU25" s="207">
        <f t="shared" si="28"/>
        <v>56.106870229007626</v>
      </c>
      <c r="BV25" s="280">
        <f t="shared" si="15"/>
        <v>11.221374045801525</v>
      </c>
    </row>
    <row r="26" spans="2:74" s="3" customFormat="1" ht="15" x14ac:dyDescent="0.25">
      <c r="B26" s="202" t="s">
        <v>78</v>
      </c>
      <c r="C26" s="220" t="s">
        <v>79</v>
      </c>
      <c r="D26" s="238">
        <f t="shared" si="42"/>
        <v>7578</v>
      </c>
      <c r="E26" s="239">
        <f t="shared" si="43"/>
        <v>1449</v>
      </c>
      <c r="F26" s="544">
        <f>'Mimořádná nadstavba 2014'!F26</f>
        <v>680</v>
      </c>
      <c r="G26" s="256">
        <f t="shared" si="44"/>
        <v>9027</v>
      </c>
      <c r="H26" s="120"/>
      <c r="I26" s="485">
        <v>0</v>
      </c>
      <c r="J26" s="157">
        <v>0</v>
      </c>
      <c r="K26" s="158">
        <f t="shared" si="29"/>
        <v>0</v>
      </c>
      <c r="L26" s="156">
        <v>0</v>
      </c>
      <c r="M26" s="157">
        <v>0</v>
      </c>
      <c r="N26" s="158">
        <f t="shared" si="30"/>
        <v>0</v>
      </c>
      <c r="O26" s="120"/>
      <c r="P26" s="137">
        <f t="shared" si="31"/>
        <v>7577.935285053929</v>
      </c>
      <c r="Q26" s="267">
        <f t="shared" si="17"/>
        <v>0</v>
      </c>
      <c r="R26" s="267">
        <f t="shared" si="32"/>
        <v>7577.935285053929</v>
      </c>
      <c r="S26" s="273">
        <f t="shared" si="33"/>
        <v>7578</v>
      </c>
      <c r="T26" s="120"/>
      <c r="U26" s="311">
        <f t="shared" si="18"/>
        <v>50.086146831659121</v>
      </c>
      <c r="V26" s="312">
        <f t="shared" si="19"/>
        <v>-0.12519727082859777</v>
      </c>
      <c r="W26" s="313">
        <f t="shared" si="20"/>
        <v>1903.2735796030465</v>
      </c>
      <c r="X26" s="314">
        <f t="shared" si="21"/>
        <v>1.4168566111328697E-2</v>
      </c>
      <c r="Y26" s="315">
        <f t="shared" si="22"/>
        <v>1449</v>
      </c>
      <c r="Z26" s="267">
        <f t="shared" si="23"/>
        <v>0</v>
      </c>
      <c r="AA26" s="267">
        <f t="shared" si="5"/>
        <v>1449</v>
      </c>
      <c r="AB26" s="273">
        <f t="shared" si="6"/>
        <v>1449</v>
      </c>
      <c r="AC26" s="45"/>
      <c r="AD26" s="125">
        <f t="shared" si="45"/>
        <v>38</v>
      </c>
      <c r="AE26" s="53">
        <v>38</v>
      </c>
      <c r="AF26" s="53">
        <v>0</v>
      </c>
      <c r="AG26" s="54">
        <v>0</v>
      </c>
      <c r="AH26" s="55">
        <v>8</v>
      </c>
      <c r="AI26" s="56">
        <v>4</v>
      </c>
      <c r="AJ26" s="57">
        <v>26</v>
      </c>
      <c r="AK26" s="45"/>
      <c r="AL26" s="169">
        <v>35</v>
      </c>
      <c r="AM26" s="175">
        <v>38</v>
      </c>
      <c r="AN26" s="165">
        <f t="shared" si="34"/>
        <v>3</v>
      </c>
      <c r="AO26" s="286">
        <f t="shared" si="35"/>
        <v>8.5714285714285715E-2</v>
      </c>
      <c r="AP26" s="45"/>
      <c r="AQ26" s="169">
        <v>21</v>
      </c>
      <c r="AR26" s="175">
        <v>26</v>
      </c>
      <c r="AS26" s="165">
        <f t="shared" si="36"/>
        <v>5</v>
      </c>
      <c r="AT26" s="188">
        <f t="shared" si="37"/>
        <v>0.23809523809523808</v>
      </c>
      <c r="AU26" s="215">
        <f t="shared" si="24"/>
        <v>59.706959706959694</v>
      </c>
      <c r="AV26" s="280">
        <f t="shared" si="11"/>
        <v>11.94139194139194</v>
      </c>
      <c r="AW26" s="45"/>
      <c r="AX26" s="183">
        <f t="shared" si="38"/>
        <v>1</v>
      </c>
      <c r="AY26" s="56">
        <v>1</v>
      </c>
      <c r="AZ26" s="86">
        <f t="shared" si="39"/>
        <v>0</v>
      </c>
      <c r="BA26" s="57">
        <v>2</v>
      </c>
      <c r="BB26" s="191">
        <f t="shared" si="40"/>
        <v>0.25</v>
      </c>
      <c r="BC26" s="215">
        <f t="shared" si="25"/>
        <v>0</v>
      </c>
      <c r="BD26" s="280">
        <f t="shared" si="13"/>
        <v>0</v>
      </c>
      <c r="BE26" s="45"/>
      <c r="BF26" s="106">
        <f t="shared" si="26"/>
        <v>2</v>
      </c>
      <c r="BG26" s="100">
        <v>2</v>
      </c>
      <c r="BH26" s="94">
        <v>0</v>
      </c>
      <c r="BI26" s="94">
        <v>0</v>
      </c>
      <c r="BJ26" s="57">
        <v>0</v>
      </c>
      <c r="BK26" s="45"/>
      <c r="BL26" s="296">
        <v>7</v>
      </c>
      <c r="BM26" s="297">
        <v>3.57</v>
      </c>
      <c r="BN26" s="207">
        <f t="shared" si="27"/>
        <v>69.7265625</v>
      </c>
      <c r="BO26" s="280">
        <f t="shared" si="14"/>
        <v>24.404296875</v>
      </c>
      <c r="BP26" s="45"/>
      <c r="BQ26" s="169">
        <v>1</v>
      </c>
      <c r="BR26" s="86">
        <v>270</v>
      </c>
      <c r="BS26" s="94">
        <f t="shared" si="16"/>
        <v>21</v>
      </c>
      <c r="BT26" s="197">
        <f t="shared" si="41"/>
        <v>0.12857142857142859</v>
      </c>
      <c r="BU26" s="207">
        <f t="shared" si="28"/>
        <v>68.702290076335885</v>
      </c>
      <c r="BV26" s="280">
        <f t="shared" si="15"/>
        <v>13.740458015267178</v>
      </c>
    </row>
    <row r="27" spans="2:74" s="3" customFormat="1" ht="15" x14ac:dyDescent="0.25">
      <c r="B27" s="202" t="s">
        <v>80</v>
      </c>
      <c r="C27" s="220" t="s">
        <v>81</v>
      </c>
      <c r="D27" s="238">
        <f t="shared" si="42"/>
        <v>11609</v>
      </c>
      <c r="E27" s="239">
        <f t="shared" si="43"/>
        <v>3562</v>
      </c>
      <c r="F27" s="544">
        <f>'Mimořádná nadstavba 2014'!F27</f>
        <v>1671</v>
      </c>
      <c r="G27" s="256">
        <f t="shared" si="44"/>
        <v>15171</v>
      </c>
      <c r="H27" s="117"/>
      <c r="I27" s="490">
        <v>0</v>
      </c>
      <c r="J27" s="52">
        <v>0</v>
      </c>
      <c r="K27" s="158">
        <f t="shared" si="29"/>
        <v>0</v>
      </c>
      <c r="L27" s="156">
        <v>0</v>
      </c>
      <c r="M27" s="157">
        <v>0</v>
      </c>
      <c r="N27" s="158">
        <f t="shared" si="30"/>
        <v>0</v>
      </c>
      <c r="O27" s="117"/>
      <c r="P27" s="137">
        <f t="shared" si="31"/>
        <v>11608.751926040062</v>
      </c>
      <c r="Q27" s="267">
        <f t="shared" si="17"/>
        <v>0</v>
      </c>
      <c r="R27" s="267">
        <f t="shared" si="32"/>
        <v>11608.751926040062</v>
      </c>
      <c r="S27" s="273">
        <f t="shared" si="33"/>
        <v>11609</v>
      </c>
      <c r="T27" s="117"/>
      <c r="U27" s="311">
        <f t="shared" si="18"/>
        <v>76.674718579522846</v>
      </c>
      <c r="V27" s="312">
        <f t="shared" si="19"/>
        <v>0.33919770864501775</v>
      </c>
      <c r="W27" s="313">
        <f t="shared" si="20"/>
        <v>4677.1578333508933</v>
      </c>
      <c r="X27" s="314">
        <f t="shared" si="21"/>
        <v>3.4818231433009349E-2</v>
      </c>
      <c r="Y27" s="315">
        <f t="shared" si="22"/>
        <v>3562</v>
      </c>
      <c r="Z27" s="267">
        <f t="shared" si="23"/>
        <v>0</v>
      </c>
      <c r="AA27" s="267">
        <f t="shared" si="5"/>
        <v>3562</v>
      </c>
      <c r="AB27" s="273">
        <f t="shared" si="6"/>
        <v>3562</v>
      </c>
      <c r="AC27" s="45"/>
      <c r="AD27" s="125">
        <f t="shared" si="45"/>
        <v>61</v>
      </c>
      <c r="AE27" s="53">
        <v>61</v>
      </c>
      <c r="AF27" s="53">
        <v>0</v>
      </c>
      <c r="AG27" s="54">
        <v>0</v>
      </c>
      <c r="AH27" s="55">
        <v>15</v>
      </c>
      <c r="AI27" s="56">
        <v>9</v>
      </c>
      <c r="AJ27" s="57">
        <v>37</v>
      </c>
      <c r="AK27" s="45"/>
      <c r="AL27" s="169">
        <v>54</v>
      </c>
      <c r="AM27" s="175">
        <v>61</v>
      </c>
      <c r="AN27" s="165">
        <f t="shared" si="34"/>
        <v>7</v>
      </c>
      <c r="AO27" s="286">
        <f t="shared" si="35"/>
        <v>0.12962962962962962</v>
      </c>
      <c r="AP27" s="45"/>
      <c r="AQ27" s="169">
        <v>31</v>
      </c>
      <c r="AR27" s="175">
        <v>37</v>
      </c>
      <c r="AS27" s="165">
        <f t="shared" si="36"/>
        <v>6</v>
      </c>
      <c r="AT27" s="188">
        <f t="shared" si="37"/>
        <v>0.19354838709677419</v>
      </c>
      <c r="AU27" s="215">
        <f t="shared" si="24"/>
        <v>52.853598014888334</v>
      </c>
      <c r="AV27" s="280">
        <f t="shared" si="11"/>
        <v>10.570719602977668</v>
      </c>
      <c r="AW27" s="45"/>
      <c r="AX27" s="183">
        <f t="shared" si="38"/>
        <v>3</v>
      </c>
      <c r="AY27" s="56">
        <v>0</v>
      </c>
      <c r="AZ27" s="86">
        <f t="shared" si="39"/>
        <v>2</v>
      </c>
      <c r="BA27" s="57">
        <v>0</v>
      </c>
      <c r="BB27" s="191">
        <f t="shared" si="40"/>
        <v>1</v>
      </c>
      <c r="BC27" s="215">
        <f t="shared" si="25"/>
        <v>100</v>
      </c>
      <c r="BD27" s="280">
        <f t="shared" si="13"/>
        <v>25</v>
      </c>
      <c r="BE27" s="45"/>
      <c r="BF27" s="106">
        <f t="shared" si="26"/>
        <v>3</v>
      </c>
      <c r="BG27" s="100">
        <v>2</v>
      </c>
      <c r="BH27" s="94">
        <v>0</v>
      </c>
      <c r="BI27" s="94">
        <v>1</v>
      </c>
      <c r="BJ27" s="57">
        <v>0</v>
      </c>
      <c r="BK27" s="45"/>
      <c r="BL27" s="296">
        <v>6</v>
      </c>
      <c r="BM27" s="297">
        <v>4.5</v>
      </c>
      <c r="BN27" s="207">
        <f t="shared" si="27"/>
        <v>87.890625</v>
      </c>
      <c r="BO27" s="280">
        <f t="shared" si="14"/>
        <v>30.761718749999996</v>
      </c>
      <c r="BP27" s="45"/>
      <c r="BQ27" s="169">
        <v>1</v>
      </c>
      <c r="BR27" s="86">
        <v>300</v>
      </c>
      <c r="BS27" s="94">
        <f t="shared" si="16"/>
        <v>31</v>
      </c>
      <c r="BT27" s="197">
        <f t="shared" si="41"/>
        <v>9.6774193548387094E-2</v>
      </c>
      <c r="BU27" s="207">
        <f t="shared" si="28"/>
        <v>51.711401132725925</v>
      </c>
      <c r="BV27" s="280">
        <f t="shared" si="15"/>
        <v>10.342280226545185</v>
      </c>
    </row>
    <row r="28" spans="2:74" s="3" customFormat="1" ht="15.75" thickBot="1" x14ac:dyDescent="0.3">
      <c r="B28" s="203" t="s">
        <v>82</v>
      </c>
      <c r="C28" s="221" t="s">
        <v>83</v>
      </c>
      <c r="D28" s="240">
        <f>S28</f>
        <v>3144</v>
      </c>
      <c r="E28" s="241">
        <f>AB28</f>
        <v>214</v>
      </c>
      <c r="F28" s="545">
        <f>'Mimořádná nadstavba 2014'!F28</f>
        <v>100</v>
      </c>
      <c r="G28" s="257">
        <f>D28+E28</f>
        <v>3358</v>
      </c>
      <c r="H28" s="117"/>
      <c r="I28" s="488">
        <v>0</v>
      </c>
      <c r="J28" s="58">
        <v>0</v>
      </c>
      <c r="K28" s="82">
        <f t="shared" si="29"/>
        <v>0</v>
      </c>
      <c r="L28" s="126">
        <v>0</v>
      </c>
      <c r="M28" s="58">
        <v>0</v>
      </c>
      <c r="N28" s="82">
        <f t="shared" si="30"/>
        <v>0</v>
      </c>
      <c r="O28" s="117"/>
      <c r="P28" s="138">
        <f t="shared" si="31"/>
        <v>3144.036979969183</v>
      </c>
      <c r="Q28" s="268">
        <f t="shared" si="17"/>
        <v>0</v>
      </c>
      <c r="R28" s="268">
        <f t="shared" si="32"/>
        <v>3144.036979969183</v>
      </c>
      <c r="S28" s="274">
        <f t="shared" si="33"/>
        <v>3144</v>
      </c>
      <c r="T28" s="117"/>
      <c r="U28" s="316">
        <f t="shared" si="18"/>
        <v>7.3931623931623935</v>
      </c>
      <c r="V28" s="317">
        <f t="shared" si="19"/>
        <v>-0.87087130777930521</v>
      </c>
      <c r="W28" s="318">
        <f t="shared" si="20"/>
        <v>280.94017094017096</v>
      </c>
      <c r="X28" s="319">
        <f t="shared" si="21"/>
        <v>2.091406841324403E-3</v>
      </c>
      <c r="Y28" s="320">
        <f t="shared" si="22"/>
        <v>214</v>
      </c>
      <c r="Z28" s="268">
        <f t="shared" si="23"/>
        <v>0</v>
      </c>
      <c r="AA28" s="268">
        <f t="shared" si="5"/>
        <v>214</v>
      </c>
      <c r="AB28" s="274">
        <f t="shared" si="6"/>
        <v>214</v>
      </c>
      <c r="AC28" s="45"/>
      <c r="AD28" s="126">
        <f>AE28+AG28</f>
        <v>38</v>
      </c>
      <c r="AE28" s="59">
        <v>33</v>
      </c>
      <c r="AF28" s="59">
        <v>1</v>
      </c>
      <c r="AG28" s="60">
        <v>5</v>
      </c>
      <c r="AH28" s="61">
        <v>37</v>
      </c>
      <c r="AI28" s="62">
        <v>1</v>
      </c>
      <c r="AJ28" s="63">
        <v>0</v>
      </c>
      <c r="AK28" s="45"/>
      <c r="AL28" s="170">
        <v>42</v>
      </c>
      <c r="AM28" s="176">
        <v>38</v>
      </c>
      <c r="AN28" s="166">
        <f t="shared" si="34"/>
        <v>-4</v>
      </c>
      <c r="AO28" s="287">
        <f>AN28/AL28</f>
        <v>-9.5238095238095233E-2</v>
      </c>
      <c r="AP28" s="45"/>
      <c r="AQ28" s="170">
        <v>0</v>
      </c>
      <c r="AR28" s="176">
        <v>0</v>
      </c>
      <c r="AS28" s="166">
        <f t="shared" si="36"/>
        <v>0</v>
      </c>
      <c r="AT28" s="189">
        <v>0</v>
      </c>
      <c r="AU28" s="216">
        <f t="shared" si="24"/>
        <v>23.076923076923077</v>
      </c>
      <c r="AV28" s="281">
        <f t="shared" si="11"/>
        <v>4.6153846153846159</v>
      </c>
      <c r="AW28" s="45"/>
      <c r="AX28" s="184">
        <f t="shared" si="38"/>
        <v>1</v>
      </c>
      <c r="AY28" s="62">
        <v>2</v>
      </c>
      <c r="AZ28" s="87">
        <f t="shared" si="39"/>
        <v>0</v>
      </c>
      <c r="BA28" s="63">
        <v>0</v>
      </c>
      <c r="BB28" s="192">
        <f t="shared" si="40"/>
        <v>0.33333333333333331</v>
      </c>
      <c r="BC28" s="216">
        <f t="shared" si="25"/>
        <v>11.111111111111109</v>
      </c>
      <c r="BD28" s="281">
        <f t="shared" si="13"/>
        <v>2.7777777777777772</v>
      </c>
      <c r="BE28" s="45"/>
      <c r="BF28" s="107">
        <f t="shared" si="26"/>
        <v>3</v>
      </c>
      <c r="BG28" s="101">
        <v>0</v>
      </c>
      <c r="BH28" s="95">
        <v>0</v>
      </c>
      <c r="BI28" s="95">
        <v>3</v>
      </c>
      <c r="BJ28" s="63">
        <v>0</v>
      </c>
      <c r="BK28" s="45"/>
      <c r="BL28" s="298">
        <v>0</v>
      </c>
      <c r="BM28" s="299">
        <v>0</v>
      </c>
      <c r="BN28" s="208">
        <f t="shared" si="27"/>
        <v>0</v>
      </c>
      <c r="BO28" s="281">
        <f t="shared" si="14"/>
        <v>0</v>
      </c>
      <c r="BP28" s="45"/>
      <c r="BQ28" s="170">
        <v>0</v>
      </c>
      <c r="BR28" s="87">
        <v>0</v>
      </c>
      <c r="BS28" s="95">
        <f t="shared" si="16"/>
        <v>0</v>
      </c>
      <c r="BT28" s="198">
        <v>0</v>
      </c>
      <c r="BU28" s="208">
        <f t="shared" si="28"/>
        <v>0</v>
      </c>
      <c r="BV28" s="281">
        <f t="shared" si="15"/>
        <v>0</v>
      </c>
    </row>
    <row r="29" spans="2:74" s="3" customFormat="1" ht="7.5" customHeight="1" thickBot="1" x14ac:dyDescent="0.3">
      <c r="B29" s="204"/>
      <c r="C29" s="7"/>
      <c r="D29" s="34"/>
      <c r="E29" s="34"/>
      <c r="F29" s="34"/>
      <c r="G29" s="3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64"/>
      <c r="AH29" s="6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6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291"/>
      <c r="BM29" s="289"/>
      <c r="BN29" s="45"/>
      <c r="BO29" s="45"/>
      <c r="BP29" s="45"/>
      <c r="BQ29" s="45"/>
      <c r="BR29" s="45"/>
      <c r="BS29" s="45"/>
      <c r="BT29" s="45"/>
      <c r="BU29" s="45"/>
      <c r="BV29" s="45"/>
    </row>
    <row r="30" spans="2:74" s="376" customFormat="1" ht="15" x14ac:dyDescent="0.25">
      <c r="B30" s="377" t="s">
        <v>57</v>
      </c>
      <c r="C30" s="378" t="s">
        <v>111</v>
      </c>
      <c r="D30" s="438" t="s">
        <v>57</v>
      </c>
      <c r="E30" s="439" t="s">
        <v>57</v>
      </c>
      <c r="F30" s="546" t="str">
        <f>'Mimořádná nadstavba 2014'!F30</f>
        <v>---</v>
      </c>
      <c r="G30" s="440" t="s">
        <v>57</v>
      </c>
      <c r="H30" s="347"/>
      <c r="I30" s="491" t="s">
        <v>112</v>
      </c>
      <c r="J30" s="431" t="s">
        <v>57</v>
      </c>
      <c r="K30" s="432" t="s">
        <v>57</v>
      </c>
      <c r="L30" s="441" t="s">
        <v>57</v>
      </c>
      <c r="M30" s="431" t="s">
        <v>57</v>
      </c>
      <c r="N30" s="432" t="s">
        <v>57</v>
      </c>
      <c r="O30" s="347"/>
      <c r="P30" s="379" t="s">
        <v>57</v>
      </c>
      <c r="Q30" s="384" t="s">
        <v>57</v>
      </c>
      <c r="R30" s="381" t="s">
        <v>57</v>
      </c>
      <c r="S30" s="448" t="s">
        <v>57</v>
      </c>
      <c r="T30" s="347"/>
      <c r="U30" s="379" t="s">
        <v>57</v>
      </c>
      <c r="V30" s="380" t="s">
        <v>57</v>
      </c>
      <c r="W30" s="381" t="s">
        <v>57</v>
      </c>
      <c r="X30" s="382" t="s">
        <v>57</v>
      </c>
      <c r="Y30" s="383" t="s">
        <v>57</v>
      </c>
      <c r="Z30" s="384" t="s">
        <v>57</v>
      </c>
      <c r="AA30" s="381" t="s">
        <v>57</v>
      </c>
      <c r="AB30" s="448" t="s">
        <v>57</v>
      </c>
      <c r="AC30" s="354"/>
      <c r="AD30" s="385">
        <f>SUM(AD31:AD36)</f>
        <v>805</v>
      </c>
      <c r="AE30" s="386">
        <f>SUM(AE31:AE36)</f>
        <v>802</v>
      </c>
      <c r="AF30" s="472" t="s">
        <v>57</v>
      </c>
      <c r="AG30" s="387">
        <f>SUM(AG31:AG36)</f>
        <v>3</v>
      </c>
      <c r="AH30" s="388">
        <f t="shared" ref="AH30:AJ30" si="46">SUM(AH31:AH36)</f>
        <v>175</v>
      </c>
      <c r="AI30" s="389">
        <f t="shared" si="46"/>
        <v>104</v>
      </c>
      <c r="AJ30" s="390">
        <f t="shared" si="46"/>
        <v>526</v>
      </c>
      <c r="AK30" s="354"/>
      <c r="AL30" s="391">
        <f>SUM(AL31:AL36)</f>
        <v>779</v>
      </c>
      <c r="AM30" s="392">
        <f>SUM(AM31:AM36)</f>
        <v>805</v>
      </c>
      <c r="AN30" s="393">
        <f>SUM(AN31:AN36)</f>
        <v>26</v>
      </c>
      <c r="AO30" s="394">
        <f>AN30/AL30</f>
        <v>3.3376123234916559E-2</v>
      </c>
      <c r="AP30" s="354"/>
      <c r="AQ30" s="391">
        <f>SUM(AQ31:AQ36)</f>
        <v>519</v>
      </c>
      <c r="AR30" s="392">
        <f>SUM(AR31:AR36)</f>
        <v>526</v>
      </c>
      <c r="AS30" s="393">
        <f>SUM(AS31:AS36)</f>
        <v>7</v>
      </c>
      <c r="AT30" s="395">
        <f>AS30/AQ30</f>
        <v>1.348747591522158E-2</v>
      </c>
      <c r="AU30" s="396" t="s">
        <v>57</v>
      </c>
      <c r="AV30" s="397" t="s">
        <v>57</v>
      </c>
      <c r="AW30" s="354"/>
      <c r="AX30" s="398" t="s">
        <v>57</v>
      </c>
      <c r="AY30" s="481" t="s">
        <v>57</v>
      </c>
      <c r="AZ30" s="406" t="s">
        <v>57</v>
      </c>
      <c r="BA30" s="403" t="s">
        <v>57</v>
      </c>
      <c r="BB30" s="399" t="s">
        <v>57</v>
      </c>
      <c r="BC30" s="396" t="s">
        <v>57</v>
      </c>
      <c r="BD30" s="397" t="s">
        <v>57</v>
      </c>
      <c r="BE30" s="354"/>
      <c r="BF30" s="396" t="s">
        <v>57</v>
      </c>
      <c r="BG30" s="400" t="s">
        <v>57</v>
      </c>
      <c r="BH30" s="401" t="s">
        <v>57</v>
      </c>
      <c r="BI30" s="402" t="s">
        <v>57</v>
      </c>
      <c r="BJ30" s="403" t="s">
        <v>57</v>
      </c>
      <c r="BK30" s="354"/>
      <c r="BL30" s="404">
        <f>SUM(BL31:BL36)</f>
        <v>67</v>
      </c>
      <c r="BM30" s="405">
        <v>3.33</v>
      </c>
      <c r="BN30" s="396" t="s">
        <v>57</v>
      </c>
      <c r="BO30" s="397" t="s">
        <v>57</v>
      </c>
      <c r="BP30" s="354"/>
      <c r="BQ30" s="391" t="s">
        <v>57</v>
      </c>
      <c r="BR30" s="406" t="s">
        <v>57</v>
      </c>
      <c r="BS30" s="401" t="s">
        <v>57</v>
      </c>
      <c r="BT30" s="407" t="s">
        <v>57</v>
      </c>
      <c r="BU30" s="396" t="s">
        <v>57</v>
      </c>
      <c r="BV30" s="397" t="s">
        <v>57</v>
      </c>
    </row>
    <row r="31" spans="2:74" s="3" customFormat="1" ht="15" x14ac:dyDescent="0.25">
      <c r="B31" s="408" t="s">
        <v>84</v>
      </c>
      <c r="C31" s="409" t="s">
        <v>85</v>
      </c>
      <c r="D31" s="499">
        <f>S31</f>
        <v>21847</v>
      </c>
      <c r="E31" s="496">
        <f>AB31</f>
        <v>4469</v>
      </c>
      <c r="F31" s="547">
        <f>'Mimořádná nadstavba 2014'!F31</f>
        <v>2097</v>
      </c>
      <c r="G31" s="493">
        <f>D31+E31</f>
        <v>26316</v>
      </c>
      <c r="H31" s="451"/>
      <c r="I31" s="484">
        <v>0</v>
      </c>
      <c r="J31" s="46">
        <v>0</v>
      </c>
      <c r="K31" s="80">
        <v>0</v>
      </c>
      <c r="L31" s="155">
        <v>0</v>
      </c>
      <c r="M31" s="46">
        <v>0</v>
      </c>
      <c r="N31" s="80">
        <f>IF(M31="","",M31*5/100)</f>
        <v>0</v>
      </c>
      <c r="O31" s="451"/>
      <c r="P31" s="136">
        <f>$P$5*AH31+$P$5*2*AI31+$P$5*3*AJ31</f>
        <v>21847.026194144837</v>
      </c>
      <c r="Q31" s="266">
        <f t="shared" ref="Q31:Q36" si="47">-P31*K31</f>
        <v>0</v>
      </c>
      <c r="R31" s="266">
        <f>P31+Q31</f>
        <v>21847.026194144837</v>
      </c>
      <c r="S31" s="449">
        <f>ROUND(R31,0)</f>
        <v>21847</v>
      </c>
      <c r="T31" s="451"/>
      <c r="U31" s="452">
        <f t="shared" ref="U31:U36" si="48">SUM(AV31,BD31,BO31,BV31)</f>
        <v>49.739871346481387</v>
      </c>
      <c r="V31" s="453">
        <f t="shared" ref="V31:V36" si="49">(U31/($U$38/21))-1</f>
        <v>-0.1312453052381275</v>
      </c>
      <c r="W31" s="454">
        <f t="shared" ref="W31:W36" si="50">U31*AD31</f>
        <v>5869.3048188848034</v>
      </c>
      <c r="X31" s="455">
        <f t="shared" ref="X31:X36" si="51">W31/$W$38</f>
        <v>4.3692947900455539E-2</v>
      </c>
      <c r="Y31" s="456">
        <f t="shared" ref="Y31:Y36" si="52">ROUND(X31*$Y$41,0)</f>
        <v>4469</v>
      </c>
      <c r="Z31" s="266">
        <f t="shared" ref="Z31:Z36" si="53">-Y31*N31</f>
        <v>0</v>
      </c>
      <c r="AA31" s="457">
        <f t="shared" si="5"/>
        <v>4469</v>
      </c>
      <c r="AB31" s="466">
        <f t="shared" si="6"/>
        <v>4469</v>
      </c>
      <c r="AC31" s="45"/>
      <c r="AD31" s="124">
        <f>AE31+AG31</f>
        <v>118</v>
      </c>
      <c r="AE31" s="284">
        <v>118</v>
      </c>
      <c r="AF31" s="284">
        <v>0</v>
      </c>
      <c r="AG31" s="410">
        <v>0</v>
      </c>
      <c r="AH31" s="411">
        <v>34</v>
      </c>
      <c r="AI31" s="343">
        <v>15</v>
      </c>
      <c r="AJ31" s="51">
        <v>69</v>
      </c>
      <c r="AK31" s="45"/>
      <c r="AL31" s="412">
        <v>112</v>
      </c>
      <c r="AM31" s="413">
        <v>118</v>
      </c>
      <c r="AN31" s="414">
        <f>AM31-AL31</f>
        <v>6</v>
      </c>
      <c r="AO31" s="415">
        <f>AN31/AL31</f>
        <v>5.3571428571428568E-2</v>
      </c>
      <c r="AP31" s="45"/>
      <c r="AQ31" s="412">
        <v>62</v>
      </c>
      <c r="AR31" s="413">
        <v>69</v>
      </c>
      <c r="AS31" s="414">
        <f>AR31-AQ31</f>
        <v>7</v>
      </c>
      <c r="AT31" s="416">
        <f>AS31/AQ31</f>
        <v>0.11290322580645161</v>
      </c>
      <c r="AU31" s="417">
        <f t="shared" ref="AU31:AU36" si="54">100*(AT31-MIN(AT$11:AT$14,AT$17:AT$17,AT$20:AT$28,AT$31:AT$36))/(MAX(AT$11:AT$14,AT$17:AT$17,AT$20:AT$28,AT$31:AT$36)-MIN(AT$11:AT$14,AT$17:AT$17,AT$20:AT$28,AT$31:AT$36))</f>
        <v>40.446650124069478</v>
      </c>
      <c r="AV31" s="418">
        <f t="shared" si="11"/>
        <v>8.0893300248138953</v>
      </c>
      <c r="AW31" s="45"/>
      <c r="AX31" s="342">
        <f t="shared" ref="AX31:AX36" si="55">BF31-AY31</f>
        <v>4</v>
      </c>
      <c r="AY31" s="343">
        <v>2</v>
      </c>
      <c r="AZ31" s="85">
        <f t="shared" ref="AZ31:AZ36" si="56">BG31-BA31</f>
        <v>1</v>
      </c>
      <c r="BA31" s="51">
        <v>3</v>
      </c>
      <c r="BB31" s="419">
        <f t="shared" si="40"/>
        <v>0.5</v>
      </c>
      <c r="BC31" s="417">
        <f t="shared" ref="BC31:BC36" si="57">100*(BB31-MIN(BB$11:BB$14,BB$17:BB$17,BB$20:BB$28,BB$31:BB$36))/(MAX(BB$11:BB$14,BB$17:BB$17,BB$20:BB$28,BB$31:BB$36)-MIN(BB$11:BB$14,BB$17:BB$17,BB$20:BB$28,BB$31:BB$36))</f>
        <v>33.333333333333336</v>
      </c>
      <c r="BD31" s="418">
        <f t="shared" si="13"/>
        <v>8.3333333333333339</v>
      </c>
      <c r="BE31" s="45"/>
      <c r="BF31" s="420">
        <f t="shared" ref="BF31:BF36" si="58">SUM(BG31:BJ31)</f>
        <v>6</v>
      </c>
      <c r="BG31" s="421">
        <v>4</v>
      </c>
      <c r="BH31" s="422">
        <v>1</v>
      </c>
      <c r="BI31" s="422">
        <v>1</v>
      </c>
      <c r="BJ31" s="51">
        <v>0</v>
      </c>
      <c r="BK31" s="45"/>
      <c r="BL31" s="423">
        <v>6</v>
      </c>
      <c r="BM31" s="424">
        <v>2.67</v>
      </c>
      <c r="BN31" s="425">
        <f t="shared" ref="BN31:BN36" si="59">100*(BM31-MIN(BM$11:BM$14,BM$17:BM$17,BM$20:BM$28,BM$31:BM$36))/(MAX(BM$11:BM$14,BM$17:BM$17,BM$20:BM$28,BM$31:BM$36)-MIN(BM$11:BM$14,BM$17:BM$17,BM$20:BM$28,BM$31:BM$36))</f>
        <v>52.1484375</v>
      </c>
      <c r="BO31" s="418">
        <f t="shared" si="14"/>
        <v>18.251953125</v>
      </c>
      <c r="BP31" s="45"/>
      <c r="BQ31" s="412">
        <v>1</v>
      </c>
      <c r="BR31" s="85">
        <v>874</v>
      </c>
      <c r="BS31" s="422">
        <f t="shared" ref="BS31:BS36" si="60">AQ31</f>
        <v>62</v>
      </c>
      <c r="BT31" s="426">
        <f t="shared" ref="BT31:BT36" si="61">BR31/BS31/100</f>
        <v>0.14096774193548389</v>
      </c>
      <c r="BU31" s="425">
        <f t="shared" ref="BU31:BU36" si="62">100*(BT31-MIN(BT$11:BT$14,BT$17:BT$17,BT$20:BT$28,BT$31:BT$36))/(MAX(BT$11:BT$14,BT$17:BT$17,BT$20:BT$28,BT$31:BT$36)-MIN(BT$11:BT$14,BT$17:BT$17,BT$20:BT$28,BT$31:BT$36))</f>
        <v>75.326274316670776</v>
      </c>
      <c r="BV31" s="418">
        <f t="shared" si="15"/>
        <v>15.065254863334156</v>
      </c>
    </row>
    <row r="32" spans="2:74" s="3" customFormat="1" ht="15" x14ac:dyDescent="0.25">
      <c r="B32" s="427" t="s">
        <v>86</v>
      </c>
      <c r="C32" s="428" t="s">
        <v>87</v>
      </c>
      <c r="D32" s="500">
        <f>S32</f>
        <v>69411</v>
      </c>
      <c r="E32" s="497">
        <f>AB32</f>
        <v>13324</v>
      </c>
      <c r="F32" s="548">
        <f>'Mimořádná nadstavba 2014'!F32</f>
        <v>6252</v>
      </c>
      <c r="G32" s="494">
        <f>D32+E32</f>
        <v>82735</v>
      </c>
      <c r="H32" s="451"/>
      <c r="I32" s="490">
        <v>0</v>
      </c>
      <c r="J32" s="52">
        <v>0</v>
      </c>
      <c r="K32" s="81">
        <v>0</v>
      </c>
      <c r="L32" s="125">
        <v>0</v>
      </c>
      <c r="M32" s="52">
        <v>0</v>
      </c>
      <c r="N32" s="81">
        <f>IF(M32="","",M32*5/100)</f>
        <v>0</v>
      </c>
      <c r="O32" s="451"/>
      <c r="P32" s="137">
        <f t="shared" ref="P32:P36" si="63">$P$5*AH32+$P$5*2*AI32+$P$5*3*AJ32</f>
        <v>69410.662557781194</v>
      </c>
      <c r="Q32" s="330">
        <f t="shared" si="47"/>
        <v>0</v>
      </c>
      <c r="R32" s="267">
        <f>P32+Q32</f>
        <v>69410.662557781194</v>
      </c>
      <c r="S32" s="450">
        <f>ROUND(R32,0)</f>
        <v>69411</v>
      </c>
      <c r="T32" s="451"/>
      <c r="U32" s="311">
        <f t="shared" si="48"/>
        <v>53.509679934679724</v>
      </c>
      <c r="V32" s="312">
        <f t="shared" si="49"/>
        <v>-6.540197230030298E-2</v>
      </c>
      <c r="W32" s="313">
        <f t="shared" si="50"/>
        <v>17497.665338640269</v>
      </c>
      <c r="X32" s="314">
        <f t="shared" si="51"/>
        <v>0.13025811465114526</v>
      </c>
      <c r="Y32" s="315">
        <f t="shared" si="52"/>
        <v>13324</v>
      </c>
      <c r="Z32" s="267">
        <f t="shared" si="53"/>
        <v>0</v>
      </c>
      <c r="AA32" s="458">
        <f t="shared" si="5"/>
        <v>13324</v>
      </c>
      <c r="AB32" s="467">
        <f t="shared" si="6"/>
        <v>13324</v>
      </c>
      <c r="AC32" s="45"/>
      <c r="AD32" s="125">
        <f>AE32+AG32</f>
        <v>327</v>
      </c>
      <c r="AE32" s="53">
        <v>326</v>
      </c>
      <c r="AF32" s="53">
        <v>0</v>
      </c>
      <c r="AG32" s="54">
        <v>1</v>
      </c>
      <c r="AH32" s="55">
        <v>42</v>
      </c>
      <c r="AI32" s="56">
        <v>36</v>
      </c>
      <c r="AJ32" s="57">
        <v>249</v>
      </c>
      <c r="AK32" s="45"/>
      <c r="AL32" s="169">
        <v>337</v>
      </c>
      <c r="AM32" s="175">
        <v>327</v>
      </c>
      <c r="AN32" s="165">
        <f>AM32-AL32</f>
        <v>-10</v>
      </c>
      <c r="AO32" s="286">
        <f t="shared" ref="AO32:AO36" si="64">AN32/AL32</f>
        <v>-2.967359050445104E-2</v>
      </c>
      <c r="AP32" s="45"/>
      <c r="AQ32" s="169">
        <v>261</v>
      </c>
      <c r="AR32" s="175">
        <v>249</v>
      </c>
      <c r="AS32" s="165">
        <f>AR32-AQ32</f>
        <v>-12</v>
      </c>
      <c r="AT32" s="188">
        <f t="shared" ref="AT32:AT36" si="65">AS32/AQ32</f>
        <v>-4.5977011494252873E-2</v>
      </c>
      <c r="AU32" s="215">
        <f t="shared" si="54"/>
        <v>16.003536693191865</v>
      </c>
      <c r="AV32" s="280">
        <f t="shared" si="11"/>
        <v>3.2007073386383733</v>
      </c>
      <c r="AW32" s="45"/>
      <c r="AX32" s="183">
        <f t="shared" si="55"/>
        <v>8</v>
      </c>
      <c r="AY32" s="56">
        <v>0</v>
      </c>
      <c r="AZ32" s="86">
        <f t="shared" si="56"/>
        <v>3</v>
      </c>
      <c r="BA32" s="57">
        <v>4</v>
      </c>
      <c r="BB32" s="191">
        <f t="shared" si="40"/>
        <v>0.73333333333333328</v>
      </c>
      <c r="BC32" s="215">
        <f t="shared" si="57"/>
        <v>64.444444444444443</v>
      </c>
      <c r="BD32" s="280">
        <f t="shared" si="13"/>
        <v>16.111111111111111</v>
      </c>
      <c r="BE32" s="45"/>
      <c r="BF32" s="106">
        <f t="shared" si="58"/>
        <v>8</v>
      </c>
      <c r="BG32" s="100">
        <v>7</v>
      </c>
      <c r="BH32" s="94">
        <v>0</v>
      </c>
      <c r="BI32" s="94">
        <v>1</v>
      </c>
      <c r="BJ32" s="57">
        <v>0</v>
      </c>
      <c r="BK32" s="45"/>
      <c r="BL32" s="296">
        <v>39</v>
      </c>
      <c r="BM32" s="297">
        <v>3.38</v>
      </c>
      <c r="BN32" s="207">
        <f t="shared" si="59"/>
        <v>66.015625</v>
      </c>
      <c r="BO32" s="280">
        <f t="shared" si="14"/>
        <v>23.10546875</v>
      </c>
      <c r="BP32" s="45"/>
      <c r="BQ32" s="169">
        <v>5</v>
      </c>
      <c r="BR32" s="86">
        <v>2709</v>
      </c>
      <c r="BS32" s="94">
        <f t="shared" si="60"/>
        <v>261</v>
      </c>
      <c r="BT32" s="197">
        <f t="shared" si="61"/>
        <v>0.10379310344827586</v>
      </c>
      <c r="BU32" s="207">
        <f t="shared" si="62"/>
        <v>55.461963674651216</v>
      </c>
      <c r="BV32" s="280">
        <f t="shared" si="15"/>
        <v>11.092392734930243</v>
      </c>
    </row>
    <row r="33" spans="2:74" s="3" customFormat="1" ht="15" x14ac:dyDescent="0.25">
      <c r="B33" s="427" t="s">
        <v>88</v>
      </c>
      <c r="C33" s="428" t="s">
        <v>89</v>
      </c>
      <c r="D33" s="500">
        <f t="shared" ref="D33:D35" si="66">S33</f>
        <v>38212</v>
      </c>
      <c r="E33" s="497">
        <f t="shared" ref="E33:E35" si="67">AB33</f>
        <v>8812</v>
      </c>
      <c r="F33" s="548">
        <f>'Mimořádná nadstavba 2014'!F33</f>
        <v>4135</v>
      </c>
      <c r="G33" s="494">
        <f t="shared" ref="G33:G35" si="68">D33+E33</f>
        <v>47024</v>
      </c>
      <c r="H33" s="451"/>
      <c r="I33" s="490">
        <v>0</v>
      </c>
      <c r="J33" s="52">
        <v>0</v>
      </c>
      <c r="K33" s="81">
        <v>0</v>
      </c>
      <c r="L33" s="125">
        <v>0</v>
      </c>
      <c r="M33" s="52">
        <v>0</v>
      </c>
      <c r="N33" s="81">
        <f t="shared" ref="N33:N35" si="69">IF(M33="","",M33*5/100)</f>
        <v>0</v>
      </c>
      <c r="O33" s="451"/>
      <c r="P33" s="137">
        <f t="shared" si="63"/>
        <v>38212.141756548532</v>
      </c>
      <c r="Q33" s="330">
        <f t="shared" si="47"/>
        <v>0</v>
      </c>
      <c r="R33" s="267">
        <f t="shared" ref="R33:R35" si="70">P33+Q33</f>
        <v>38212.141756548532</v>
      </c>
      <c r="S33" s="450">
        <f t="shared" ref="S33:S35" si="71">ROUND(R33,0)</f>
        <v>38212</v>
      </c>
      <c r="T33" s="451"/>
      <c r="U33" s="311">
        <f t="shared" si="48"/>
        <v>58.443100439633469</v>
      </c>
      <c r="V33" s="312">
        <f t="shared" si="49"/>
        <v>2.0764961969747864E-2</v>
      </c>
      <c r="W33" s="313">
        <f t="shared" si="50"/>
        <v>11571.733887047427</v>
      </c>
      <c r="X33" s="314">
        <f t="shared" si="51"/>
        <v>8.6143620317331929E-2</v>
      </c>
      <c r="Y33" s="315">
        <f t="shared" si="52"/>
        <v>8812</v>
      </c>
      <c r="Z33" s="267">
        <f t="shared" si="53"/>
        <v>0</v>
      </c>
      <c r="AA33" s="458">
        <f t="shared" si="5"/>
        <v>8812</v>
      </c>
      <c r="AB33" s="467">
        <f t="shared" si="6"/>
        <v>8812</v>
      </c>
      <c r="AC33" s="45"/>
      <c r="AD33" s="125">
        <f t="shared" ref="AD33:AD35" si="72">AE33+AG33</f>
        <v>198</v>
      </c>
      <c r="AE33" s="53">
        <v>197</v>
      </c>
      <c r="AF33" s="53">
        <v>1</v>
      </c>
      <c r="AG33" s="54">
        <v>1</v>
      </c>
      <c r="AH33" s="55">
        <v>47</v>
      </c>
      <c r="AI33" s="56">
        <v>26</v>
      </c>
      <c r="AJ33" s="57">
        <v>125</v>
      </c>
      <c r="AK33" s="45"/>
      <c r="AL33" s="169">
        <v>194</v>
      </c>
      <c r="AM33" s="175">
        <v>198</v>
      </c>
      <c r="AN33" s="165">
        <f t="shared" ref="AN33:AN36" si="73">AM33-AL33</f>
        <v>4</v>
      </c>
      <c r="AO33" s="286">
        <f t="shared" si="64"/>
        <v>2.0618556701030927E-2</v>
      </c>
      <c r="AP33" s="45"/>
      <c r="AQ33" s="169">
        <v>123</v>
      </c>
      <c r="AR33" s="175">
        <v>125</v>
      </c>
      <c r="AS33" s="165">
        <f t="shared" ref="AS33:AS36" si="74">AR33-AQ33</f>
        <v>2</v>
      </c>
      <c r="AT33" s="188">
        <f t="shared" si="65"/>
        <v>1.6260162601626018E-2</v>
      </c>
      <c r="AU33" s="215">
        <f t="shared" si="54"/>
        <v>25.578486554096308</v>
      </c>
      <c r="AV33" s="280">
        <f t="shared" si="11"/>
        <v>5.1156973108192618</v>
      </c>
      <c r="AW33" s="45"/>
      <c r="AX33" s="183">
        <f t="shared" si="55"/>
        <v>7</v>
      </c>
      <c r="AY33" s="56">
        <v>1</v>
      </c>
      <c r="AZ33" s="86">
        <f t="shared" si="56"/>
        <v>3</v>
      </c>
      <c r="BA33" s="57">
        <v>1</v>
      </c>
      <c r="BB33" s="191">
        <f t="shared" si="40"/>
        <v>0.83333333333333337</v>
      </c>
      <c r="BC33" s="215">
        <f t="shared" si="57"/>
        <v>77.777777777777786</v>
      </c>
      <c r="BD33" s="280">
        <f t="shared" si="13"/>
        <v>19.444444444444446</v>
      </c>
      <c r="BE33" s="45"/>
      <c r="BF33" s="106">
        <f t="shared" si="58"/>
        <v>8</v>
      </c>
      <c r="BG33" s="100">
        <v>4</v>
      </c>
      <c r="BH33" s="94">
        <v>2</v>
      </c>
      <c r="BI33" s="94">
        <v>2</v>
      </c>
      <c r="BJ33" s="57">
        <v>0</v>
      </c>
      <c r="BK33" s="45"/>
      <c r="BL33" s="296">
        <v>14</v>
      </c>
      <c r="BM33" s="297">
        <v>3.5</v>
      </c>
      <c r="BN33" s="207">
        <f t="shared" si="59"/>
        <v>68.359375</v>
      </c>
      <c r="BO33" s="280">
        <f t="shared" si="14"/>
        <v>23.92578125</v>
      </c>
      <c r="BP33" s="45"/>
      <c r="BQ33" s="169">
        <v>5</v>
      </c>
      <c r="BR33" s="86">
        <v>1146</v>
      </c>
      <c r="BS33" s="94">
        <f t="shared" si="60"/>
        <v>123</v>
      </c>
      <c r="BT33" s="197">
        <f t="shared" si="61"/>
        <v>9.3170731707317073E-2</v>
      </c>
      <c r="BU33" s="207">
        <f t="shared" si="62"/>
        <v>49.785887171848806</v>
      </c>
      <c r="BV33" s="280">
        <f t="shared" si="15"/>
        <v>9.9571774343697612</v>
      </c>
    </row>
    <row r="34" spans="2:74" s="3" customFormat="1" ht="15" x14ac:dyDescent="0.25">
      <c r="B34" s="427" t="s">
        <v>90</v>
      </c>
      <c r="C34" s="428" t="s">
        <v>91</v>
      </c>
      <c r="D34" s="500">
        <f t="shared" si="66"/>
        <v>10883</v>
      </c>
      <c r="E34" s="497">
        <f t="shared" si="67"/>
        <v>3508</v>
      </c>
      <c r="F34" s="548">
        <f>'Mimořádná nadstavba 2014'!F34</f>
        <v>1646</v>
      </c>
      <c r="G34" s="494">
        <f t="shared" si="68"/>
        <v>14391</v>
      </c>
      <c r="H34" s="451"/>
      <c r="I34" s="490">
        <v>0</v>
      </c>
      <c r="J34" s="52">
        <v>0</v>
      </c>
      <c r="K34" s="81">
        <v>0</v>
      </c>
      <c r="L34" s="125">
        <v>0</v>
      </c>
      <c r="M34" s="52">
        <v>0</v>
      </c>
      <c r="N34" s="81">
        <f t="shared" si="69"/>
        <v>0</v>
      </c>
      <c r="O34" s="451"/>
      <c r="P34" s="137">
        <f t="shared" si="63"/>
        <v>10883.204930662558</v>
      </c>
      <c r="Q34" s="330">
        <f t="shared" si="47"/>
        <v>0</v>
      </c>
      <c r="R34" s="267">
        <f t="shared" si="70"/>
        <v>10883.204930662558</v>
      </c>
      <c r="S34" s="450">
        <f t="shared" si="71"/>
        <v>10883</v>
      </c>
      <c r="T34" s="451"/>
      <c r="U34" s="311">
        <f t="shared" si="48"/>
        <v>74.302022549055579</v>
      </c>
      <c r="V34" s="312">
        <f t="shared" si="49"/>
        <v>0.29775629032383599</v>
      </c>
      <c r="W34" s="313">
        <f t="shared" si="50"/>
        <v>4606.7253980414462</v>
      </c>
      <c r="X34" s="314">
        <f t="shared" si="51"/>
        <v>3.4293910270377585E-2</v>
      </c>
      <c r="Y34" s="315">
        <f t="shared" si="52"/>
        <v>3508</v>
      </c>
      <c r="Z34" s="267">
        <f t="shared" si="53"/>
        <v>0</v>
      </c>
      <c r="AA34" s="458">
        <f t="shared" si="5"/>
        <v>3508</v>
      </c>
      <c r="AB34" s="467">
        <f t="shared" si="6"/>
        <v>3508</v>
      </c>
      <c r="AC34" s="45"/>
      <c r="AD34" s="125">
        <f t="shared" si="72"/>
        <v>62</v>
      </c>
      <c r="AE34" s="53">
        <v>61</v>
      </c>
      <c r="AF34" s="53">
        <v>0</v>
      </c>
      <c r="AG34" s="54">
        <v>1</v>
      </c>
      <c r="AH34" s="55">
        <v>23</v>
      </c>
      <c r="AI34" s="56">
        <v>5</v>
      </c>
      <c r="AJ34" s="57">
        <v>34</v>
      </c>
      <c r="AK34" s="45"/>
      <c r="AL34" s="169">
        <v>49</v>
      </c>
      <c r="AM34" s="175">
        <v>62</v>
      </c>
      <c r="AN34" s="165">
        <f t="shared" si="73"/>
        <v>13</v>
      </c>
      <c r="AO34" s="286">
        <f t="shared" si="64"/>
        <v>0.26530612244897961</v>
      </c>
      <c r="AP34" s="45"/>
      <c r="AQ34" s="169">
        <v>30</v>
      </c>
      <c r="AR34" s="175">
        <v>34</v>
      </c>
      <c r="AS34" s="165">
        <f t="shared" si="74"/>
        <v>4</v>
      </c>
      <c r="AT34" s="188">
        <f t="shared" si="65"/>
        <v>0.13333333333333333</v>
      </c>
      <c r="AU34" s="215">
        <f t="shared" si="54"/>
        <v>43.589743589743584</v>
      </c>
      <c r="AV34" s="280">
        <f t="shared" si="11"/>
        <v>8.7179487179487172</v>
      </c>
      <c r="AW34" s="45"/>
      <c r="AX34" s="183">
        <f t="shared" si="55"/>
        <v>4</v>
      </c>
      <c r="AY34" s="56">
        <v>0</v>
      </c>
      <c r="AZ34" s="86">
        <f t="shared" si="56"/>
        <v>2</v>
      </c>
      <c r="BA34" s="57">
        <v>0</v>
      </c>
      <c r="BB34" s="191">
        <f t="shared" si="40"/>
        <v>1</v>
      </c>
      <c r="BC34" s="215">
        <f t="shared" si="57"/>
        <v>100</v>
      </c>
      <c r="BD34" s="280">
        <f t="shared" si="13"/>
        <v>25</v>
      </c>
      <c r="BE34" s="45"/>
      <c r="BF34" s="106">
        <f t="shared" si="58"/>
        <v>4</v>
      </c>
      <c r="BG34" s="100">
        <v>2</v>
      </c>
      <c r="BH34" s="94">
        <v>0</v>
      </c>
      <c r="BI34" s="94">
        <v>1</v>
      </c>
      <c r="BJ34" s="57">
        <v>1</v>
      </c>
      <c r="BK34" s="45"/>
      <c r="BL34" s="296">
        <v>6</v>
      </c>
      <c r="BM34" s="297">
        <v>3.67</v>
      </c>
      <c r="BN34" s="207">
        <f t="shared" si="59"/>
        <v>71.6796875</v>
      </c>
      <c r="BO34" s="280">
        <f t="shared" si="14"/>
        <v>25.087890625</v>
      </c>
      <c r="BP34" s="45"/>
      <c r="BQ34" s="169">
        <v>1</v>
      </c>
      <c r="BR34" s="86">
        <v>435</v>
      </c>
      <c r="BS34" s="94">
        <f t="shared" si="60"/>
        <v>30</v>
      </c>
      <c r="BT34" s="197">
        <f t="shared" si="61"/>
        <v>0.14499999999999999</v>
      </c>
      <c r="BU34" s="207">
        <f t="shared" si="62"/>
        <v>77.480916030534331</v>
      </c>
      <c r="BV34" s="280">
        <f t="shared" si="15"/>
        <v>15.496183206106867</v>
      </c>
    </row>
    <row r="35" spans="2:74" s="3" customFormat="1" ht="15" x14ac:dyDescent="0.25">
      <c r="B35" s="427" t="s">
        <v>92</v>
      </c>
      <c r="C35" s="428" t="s">
        <v>93</v>
      </c>
      <c r="D35" s="500">
        <f t="shared" si="66"/>
        <v>6852</v>
      </c>
      <c r="E35" s="497">
        <f t="shared" si="67"/>
        <v>2024</v>
      </c>
      <c r="F35" s="548">
        <f>'Mimořádná nadstavba 2014'!F35</f>
        <v>950</v>
      </c>
      <c r="G35" s="494">
        <f t="shared" si="68"/>
        <v>8876</v>
      </c>
      <c r="H35" s="451"/>
      <c r="I35" s="490">
        <v>0</v>
      </c>
      <c r="J35" s="52">
        <v>0</v>
      </c>
      <c r="K35" s="81">
        <v>0</v>
      </c>
      <c r="L35" s="125">
        <v>0</v>
      </c>
      <c r="M35" s="52">
        <v>0</v>
      </c>
      <c r="N35" s="81">
        <f t="shared" si="69"/>
        <v>0</v>
      </c>
      <c r="O35" s="451"/>
      <c r="P35" s="137">
        <f t="shared" si="63"/>
        <v>6852.3882896764244</v>
      </c>
      <c r="Q35" s="330">
        <f t="shared" si="47"/>
        <v>0</v>
      </c>
      <c r="R35" s="267">
        <f t="shared" si="70"/>
        <v>6852.3882896764244</v>
      </c>
      <c r="S35" s="450">
        <f t="shared" si="71"/>
        <v>6852</v>
      </c>
      <c r="T35" s="451"/>
      <c r="U35" s="311">
        <f t="shared" si="48"/>
        <v>71.8359375</v>
      </c>
      <c r="V35" s="312">
        <f t="shared" si="49"/>
        <v>0.25468374296790763</v>
      </c>
      <c r="W35" s="313">
        <f t="shared" si="50"/>
        <v>2657.9296875</v>
      </c>
      <c r="X35" s="314">
        <f t="shared" si="51"/>
        <v>1.9786463123426152E-2</v>
      </c>
      <c r="Y35" s="315">
        <f t="shared" si="52"/>
        <v>2024</v>
      </c>
      <c r="Z35" s="267">
        <f t="shared" si="53"/>
        <v>0</v>
      </c>
      <c r="AA35" s="458">
        <f t="shared" si="5"/>
        <v>2024</v>
      </c>
      <c r="AB35" s="467">
        <f t="shared" si="6"/>
        <v>2024</v>
      </c>
      <c r="AC35" s="45"/>
      <c r="AD35" s="125">
        <f t="shared" si="72"/>
        <v>37</v>
      </c>
      <c r="AE35" s="53">
        <v>37</v>
      </c>
      <c r="AF35" s="53">
        <v>0</v>
      </c>
      <c r="AG35" s="54">
        <v>0</v>
      </c>
      <c r="AH35" s="55">
        <v>10</v>
      </c>
      <c r="AI35" s="56">
        <v>6</v>
      </c>
      <c r="AJ35" s="57">
        <v>21</v>
      </c>
      <c r="AK35" s="45"/>
      <c r="AL35" s="169">
        <v>31</v>
      </c>
      <c r="AM35" s="175">
        <v>37</v>
      </c>
      <c r="AN35" s="165">
        <f t="shared" si="73"/>
        <v>6</v>
      </c>
      <c r="AO35" s="286">
        <f t="shared" si="64"/>
        <v>0.19354838709677419</v>
      </c>
      <c r="AP35" s="45"/>
      <c r="AQ35" s="169">
        <v>14</v>
      </c>
      <c r="AR35" s="175">
        <v>21</v>
      </c>
      <c r="AS35" s="165">
        <f t="shared" si="74"/>
        <v>7</v>
      </c>
      <c r="AT35" s="188">
        <f t="shared" si="65"/>
        <v>0.5</v>
      </c>
      <c r="AU35" s="215">
        <f t="shared" si="54"/>
        <v>100</v>
      </c>
      <c r="AV35" s="280">
        <f t="shared" si="11"/>
        <v>20</v>
      </c>
      <c r="AW35" s="45"/>
      <c r="AX35" s="183">
        <f t="shared" si="55"/>
        <v>3</v>
      </c>
      <c r="AY35" s="56">
        <v>0</v>
      </c>
      <c r="AZ35" s="86">
        <f t="shared" si="56"/>
        <v>1</v>
      </c>
      <c r="BA35" s="57">
        <v>0</v>
      </c>
      <c r="BB35" s="191">
        <f t="shared" si="40"/>
        <v>1</v>
      </c>
      <c r="BC35" s="215">
        <f t="shared" si="57"/>
        <v>100</v>
      </c>
      <c r="BD35" s="280">
        <f t="shared" si="13"/>
        <v>25</v>
      </c>
      <c r="BE35" s="45"/>
      <c r="BF35" s="106">
        <f t="shared" si="58"/>
        <v>3</v>
      </c>
      <c r="BG35" s="100">
        <v>1</v>
      </c>
      <c r="BH35" s="94">
        <v>1</v>
      </c>
      <c r="BI35" s="94">
        <v>1</v>
      </c>
      <c r="BJ35" s="57">
        <v>0</v>
      </c>
      <c r="BK35" s="45"/>
      <c r="BL35" s="296">
        <v>1</v>
      </c>
      <c r="BM35" s="297">
        <v>1</v>
      </c>
      <c r="BN35" s="207">
        <f t="shared" si="59"/>
        <v>19.53125</v>
      </c>
      <c r="BO35" s="280">
        <f t="shared" si="14"/>
        <v>6.8359375</v>
      </c>
      <c r="BP35" s="45"/>
      <c r="BQ35" s="169">
        <v>1</v>
      </c>
      <c r="BR35" s="86">
        <v>262</v>
      </c>
      <c r="BS35" s="94">
        <f t="shared" si="60"/>
        <v>14</v>
      </c>
      <c r="BT35" s="197">
        <f t="shared" si="61"/>
        <v>0.18714285714285717</v>
      </c>
      <c r="BU35" s="207">
        <f t="shared" si="62"/>
        <v>99.999999999999986</v>
      </c>
      <c r="BV35" s="280">
        <f t="shared" si="15"/>
        <v>20</v>
      </c>
    </row>
    <row r="36" spans="2:74" s="3" customFormat="1" ht="15.75" thickBot="1" x14ac:dyDescent="0.3">
      <c r="B36" s="429" t="s">
        <v>94</v>
      </c>
      <c r="C36" s="430" t="s">
        <v>95</v>
      </c>
      <c r="D36" s="501">
        <f>S36</f>
        <v>10883</v>
      </c>
      <c r="E36" s="498">
        <f>AB36</f>
        <v>2909</v>
      </c>
      <c r="F36" s="549">
        <f>'Mimořádná nadstavba 2014'!F36</f>
        <v>1365</v>
      </c>
      <c r="G36" s="495">
        <f>D36+E36</f>
        <v>13792</v>
      </c>
      <c r="H36" s="451"/>
      <c r="I36" s="488">
        <v>0</v>
      </c>
      <c r="J36" s="58">
        <v>0</v>
      </c>
      <c r="K36" s="82">
        <v>0</v>
      </c>
      <c r="L36" s="126">
        <v>0</v>
      </c>
      <c r="M36" s="58">
        <v>0</v>
      </c>
      <c r="N36" s="82">
        <f>IF(M36="","",M36*5/100)</f>
        <v>0</v>
      </c>
      <c r="O36" s="451"/>
      <c r="P36" s="138">
        <f t="shared" si="63"/>
        <v>10883.204930662558</v>
      </c>
      <c r="Q36" s="268">
        <f t="shared" si="47"/>
        <v>0</v>
      </c>
      <c r="R36" s="268">
        <f>P36+Q36</f>
        <v>10883.204930662558</v>
      </c>
      <c r="S36" s="446">
        <f>ROUND(R36,0)</f>
        <v>10883</v>
      </c>
      <c r="T36" s="451"/>
      <c r="U36" s="459">
        <f t="shared" si="48"/>
        <v>60.637165028668136</v>
      </c>
      <c r="V36" s="460">
        <f t="shared" si="49"/>
        <v>5.9086410351810947E-2</v>
      </c>
      <c r="W36" s="461">
        <f t="shared" si="50"/>
        <v>3820.1413968060924</v>
      </c>
      <c r="X36" s="462">
        <f t="shared" si="51"/>
        <v>2.8438331995634263E-2</v>
      </c>
      <c r="Y36" s="463">
        <f t="shared" si="52"/>
        <v>2909</v>
      </c>
      <c r="Z36" s="268">
        <f t="shared" si="53"/>
        <v>0</v>
      </c>
      <c r="AA36" s="268">
        <f t="shared" si="5"/>
        <v>2909</v>
      </c>
      <c r="AB36" s="468">
        <f t="shared" si="6"/>
        <v>2909</v>
      </c>
      <c r="AC36" s="45"/>
      <c r="AD36" s="126">
        <f>AE36+AG36</f>
        <v>63</v>
      </c>
      <c r="AE36" s="59">
        <v>63</v>
      </c>
      <c r="AF36" s="59">
        <v>0</v>
      </c>
      <c r="AG36" s="60">
        <v>0</v>
      </c>
      <c r="AH36" s="61">
        <v>19</v>
      </c>
      <c r="AI36" s="62">
        <v>16</v>
      </c>
      <c r="AJ36" s="63">
        <v>28</v>
      </c>
      <c r="AK36" s="45"/>
      <c r="AL36" s="170">
        <v>56</v>
      </c>
      <c r="AM36" s="176">
        <v>63</v>
      </c>
      <c r="AN36" s="166">
        <f t="shared" si="73"/>
        <v>7</v>
      </c>
      <c r="AO36" s="287">
        <f t="shared" si="64"/>
        <v>0.125</v>
      </c>
      <c r="AP36" s="45"/>
      <c r="AQ36" s="170">
        <v>29</v>
      </c>
      <c r="AR36" s="176">
        <v>28</v>
      </c>
      <c r="AS36" s="166">
        <f t="shared" si="74"/>
        <v>-1</v>
      </c>
      <c r="AT36" s="189">
        <f t="shared" si="65"/>
        <v>-3.4482758620689655E-2</v>
      </c>
      <c r="AU36" s="216">
        <f t="shared" si="54"/>
        <v>17.771883289124666</v>
      </c>
      <c r="AV36" s="281">
        <f t="shared" si="11"/>
        <v>3.5543766578249336</v>
      </c>
      <c r="AW36" s="45"/>
      <c r="AX36" s="184">
        <f t="shared" si="55"/>
        <v>3</v>
      </c>
      <c r="AY36" s="62">
        <v>0</v>
      </c>
      <c r="AZ36" s="87">
        <f t="shared" si="56"/>
        <v>1</v>
      </c>
      <c r="BA36" s="63">
        <v>1</v>
      </c>
      <c r="BB36" s="192">
        <f t="shared" si="40"/>
        <v>0.8</v>
      </c>
      <c r="BC36" s="216">
        <f t="shared" si="57"/>
        <v>73.333333333333343</v>
      </c>
      <c r="BD36" s="281">
        <f t="shared" si="13"/>
        <v>18.333333333333336</v>
      </c>
      <c r="BE36" s="45"/>
      <c r="BF36" s="107">
        <f t="shared" si="58"/>
        <v>3</v>
      </c>
      <c r="BG36" s="101">
        <v>2</v>
      </c>
      <c r="BH36" s="95">
        <v>0</v>
      </c>
      <c r="BI36" s="95">
        <v>1</v>
      </c>
      <c r="BJ36" s="63">
        <v>0</v>
      </c>
      <c r="BK36" s="45"/>
      <c r="BL36" s="298">
        <v>1</v>
      </c>
      <c r="BM36" s="299">
        <v>3</v>
      </c>
      <c r="BN36" s="208">
        <f t="shared" si="59"/>
        <v>58.59375</v>
      </c>
      <c r="BO36" s="281">
        <f t="shared" si="14"/>
        <v>20.5078125</v>
      </c>
      <c r="BP36" s="45"/>
      <c r="BQ36" s="170">
        <v>1</v>
      </c>
      <c r="BR36" s="87">
        <v>495</v>
      </c>
      <c r="BS36" s="95">
        <f t="shared" si="60"/>
        <v>29</v>
      </c>
      <c r="BT36" s="198">
        <f t="shared" si="61"/>
        <v>0.1706896551724138</v>
      </c>
      <c r="BU36" s="208">
        <f t="shared" si="62"/>
        <v>91.208212687549349</v>
      </c>
      <c r="BV36" s="281">
        <f t="shared" si="15"/>
        <v>18.241642537509872</v>
      </c>
    </row>
    <row r="37" spans="2:74" s="3" customFormat="1" ht="9.75" customHeight="1" thickBot="1" x14ac:dyDescent="0.3">
      <c r="B37" s="8"/>
      <c r="C37" s="7"/>
      <c r="D37" s="35"/>
      <c r="E37" s="35"/>
      <c r="F37" s="35"/>
      <c r="G37" s="35"/>
      <c r="H37" s="45"/>
      <c r="I37" s="72"/>
      <c r="J37" s="72"/>
      <c r="K37" s="72"/>
      <c r="L37" s="283"/>
      <c r="M37" s="72"/>
      <c r="N37" s="72"/>
      <c r="O37" s="45"/>
      <c r="P37" s="72"/>
      <c r="Q37" s="72"/>
      <c r="R37" s="72"/>
      <c r="S37" s="72"/>
      <c r="T37" s="45"/>
      <c r="U37" s="72"/>
      <c r="V37" s="72"/>
      <c r="W37" s="72"/>
      <c r="X37" s="72"/>
      <c r="Y37" s="72"/>
      <c r="Z37" s="72"/>
      <c r="AA37" s="72"/>
      <c r="AB37" s="72"/>
      <c r="AC37" s="45"/>
      <c r="AD37" s="72"/>
      <c r="AE37" s="72"/>
      <c r="AF37" s="72"/>
      <c r="AG37" s="73"/>
      <c r="AH37" s="74"/>
      <c r="AI37" s="72"/>
      <c r="AJ37" s="72"/>
      <c r="AK37" s="45"/>
      <c r="AL37" s="72"/>
      <c r="AM37" s="72"/>
      <c r="AN37" s="72"/>
      <c r="AO37" s="72"/>
      <c r="AP37" s="45"/>
      <c r="AQ37" s="72"/>
      <c r="AR37" s="72"/>
      <c r="AS37" s="72"/>
      <c r="AT37" s="72"/>
      <c r="AU37" s="72"/>
      <c r="AV37" s="72"/>
      <c r="AW37" s="45"/>
      <c r="AX37" s="74"/>
      <c r="AY37" s="72"/>
      <c r="AZ37" s="72"/>
      <c r="BA37" s="72"/>
      <c r="BB37" s="72"/>
      <c r="BC37" s="72"/>
      <c r="BD37" s="72"/>
      <c r="BE37" s="45"/>
      <c r="BF37" s="72"/>
      <c r="BG37" s="72"/>
      <c r="BH37" s="72"/>
      <c r="BI37" s="72"/>
      <c r="BJ37" s="72"/>
      <c r="BK37" s="45"/>
      <c r="BL37" s="292"/>
      <c r="BM37" s="290"/>
      <c r="BN37" s="72"/>
      <c r="BO37" s="72"/>
      <c r="BP37" s="45"/>
      <c r="BQ37" s="72"/>
      <c r="BR37" s="72"/>
      <c r="BS37" s="72"/>
      <c r="BT37" s="72"/>
      <c r="BU37" s="72"/>
      <c r="BV37" s="72"/>
    </row>
    <row r="38" spans="2:74" s="5" customFormat="1" ht="15.75" thickBot="1" x14ac:dyDescent="0.3">
      <c r="B38" s="205">
        <v>510</v>
      </c>
      <c r="C38" s="31" t="s">
        <v>96</v>
      </c>
      <c r="D38" s="464">
        <v>418560</v>
      </c>
      <c r="E38" s="465">
        <v>174291</v>
      </c>
      <c r="F38" s="550">
        <v>48000</v>
      </c>
      <c r="G38" s="248">
        <f>SUM(D38:F38)</f>
        <v>640851</v>
      </c>
      <c r="H38" s="121"/>
      <c r="I38" s="492" t="s">
        <v>57</v>
      </c>
      <c r="J38" s="79" t="s">
        <v>57</v>
      </c>
      <c r="K38" s="79" t="s">
        <v>57</v>
      </c>
      <c r="L38" s="443" t="s">
        <v>57</v>
      </c>
      <c r="M38" s="444" t="s">
        <v>57</v>
      </c>
      <c r="N38" s="79" t="s">
        <v>57</v>
      </c>
      <c r="O38" s="121"/>
      <c r="P38" s="140">
        <f>D38</f>
        <v>418560</v>
      </c>
      <c r="Q38" s="150" t="s">
        <v>57</v>
      </c>
      <c r="R38" s="150" t="s">
        <v>57</v>
      </c>
      <c r="S38" s="275">
        <f>P38</f>
        <v>418560</v>
      </c>
      <c r="T38" s="121"/>
      <c r="U38" s="324">
        <f>SUM(U11:U14,U17:U17,U20:U28,U31:U36)</f>
        <v>1202.3385940520518</v>
      </c>
      <c r="V38" s="325" t="s">
        <v>57</v>
      </c>
      <c r="W38" s="326">
        <f>SUM(W11:W14,W17:W17,W20:W28,W31:W36)</f>
        <v>134330.71241282875</v>
      </c>
      <c r="X38" s="327">
        <f>W38/$W$38</f>
        <v>1</v>
      </c>
      <c r="Y38" s="328">
        <f>E38</f>
        <v>174291</v>
      </c>
      <c r="Z38" s="150" t="s">
        <v>57</v>
      </c>
      <c r="AA38" s="150" t="s">
        <v>57</v>
      </c>
      <c r="AB38" s="275">
        <f>Y38</f>
        <v>174291</v>
      </c>
      <c r="AC38" s="132"/>
      <c r="AD38" s="128">
        <f>SUM(AD11:AD14,AD17:AD17,AD20:AD28,AD31:AD36)</f>
        <v>2191</v>
      </c>
      <c r="AE38" s="75">
        <f>SUM(AE11:AE14,AE17:AE17,AE20:AE28,AE31:AE36)</f>
        <v>2173</v>
      </c>
      <c r="AF38" s="473" t="s">
        <v>57</v>
      </c>
      <c r="AG38" s="111">
        <f>SUM(AG11:AG14,AG17:AG17,AG20:AG28,AG31:AG36)</f>
        <v>18</v>
      </c>
      <c r="AH38" s="76">
        <f>SUM(AH11:AH14,AH17:AH17,AH20:AH28,AH31:AH36)</f>
        <v>542</v>
      </c>
      <c r="AI38" s="77">
        <f>SUM(AI11:AI14,AI17:AI17,AI20:AI28,AI31:AI36)</f>
        <v>297</v>
      </c>
      <c r="AJ38" s="78">
        <f>SUM(AJ11:AJ14,AJ17:AJ17,AJ20:AJ28,AJ31:AJ36)</f>
        <v>1352</v>
      </c>
      <c r="AK38" s="132"/>
      <c r="AL38" s="172">
        <f>SUM(AL11:AL14,AL17:AL17,AL20:AL28,AL31:AL36)</f>
        <v>2152</v>
      </c>
      <c r="AM38" s="178">
        <f>SUM(AM11:AM14,AM17:AM17,AM20:AM28,AM31:AM36)</f>
        <v>2191</v>
      </c>
      <c r="AN38" s="179">
        <f>SUM(AN11:AN14,AN17:AN17,AN20:AN28,AN31:AN36)</f>
        <v>39</v>
      </c>
      <c r="AO38" s="288">
        <f>AN38/AL38</f>
        <v>1.812267657992565E-2</v>
      </c>
      <c r="AP38" s="132"/>
      <c r="AQ38" s="172">
        <f>SUM(AQ11:AQ14,AQ17:AQ17,AQ20:AQ28,AQ31:AQ36)</f>
        <v>1337</v>
      </c>
      <c r="AR38" s="178">
        <f>SUM(AR11:AR14,AR17:AR17,AR20:AR28,AR31:AR36)</f>
        <v>1352</v>
      </c>
      <c r="AS38" s="179">
        <f>SUM(AS11:AS14,AS17:AS17,AS20:AS28,AS31:AS36)</f>
        <v>15</v>
      </c>
      <c r="AT38" s="190">
        <f>AS38/AQ38</f>
        <v>1.1219147344801795E-2</v>
      </c>
      <c r="AU38" s="209" t="s">
        <v>57</v>
      </c>
      <c r="AV38" s="210" t="s">
        <v>57</v>
      </c>
      <c r="AW38" s="132"/>
      <c r="AX38" s="186">
        <f>SUM(AX11:AX14,AX17:AX17,AX20:AX28,AX31:AX36)</f>
        <v>86</v>
      </c>
      <c r="AY38" s="77">
        <f>SUM(AY11:AY14,AY17:AY17,AY20:AY28,AY31:AY36)</f>
        <v>7</v>
      </c>
      <c r="AZ38" s="89">
        <f>SUM(AZ11:AZ14,AZ17:AZ17,AZ20:AZ28,AZ31:AZ36)</f>
        <v>42</v>
      </c>
      <c r="BA38" s="78">
        <f>SUM(BA11:BA14,BA17:BA17,BA20:BA28,BA31:BA36)</f>
        <v>20</v>
      </c>
      <c r="BB38" s="193">
        <f>(AX38+AZ38)/SUM(AX38:BA38)</f>
        <v>0.82580645161290323</v>
      </c>
      <c r="BC38" s="217" t="s">
        <v>57</v>
      </c>
      <c r="BD38" s="210" t="s">
        <v>57</v>
      </c>
      <c r="BE38" s="132"/>
      <c r="BF38" s="109">
        <f>SUM(BF11:BF14,BF17:BF17,BF20:BF28,BF31:BF36)</f>
        <v>93</v>
      </c>
      <c r="BG38" s="103">
        <f>SUM(BG11:BG14,BG17:BG17,BG20:BG28,BG31:BG36)</f>
        <v>62</v>
      </c>
      <c r="BH38" s="97">
        <f>SUM(BH11:BH14,BH17:BH17,BH20:BH28,BH31:BH36)</f>
        <v>10</v>
      </c>
      <c r="BI38" s="97">
        <f>SUM(BI11:BI14,BI17:BI17,BI20:BI28,BI31:BI36)</f>
        <v>19</v>
      </c>
      <c r="BJ38" s="78">
        <f>SUM(BJ11:BJ14,BJ17:BJ17,BJ20:BJ28,BJ31:BJ36)</f>
        <v>2</v>
      </c>
      <c r="BK38" s="132"/>
      <c r="BL38" s="302">
        <f>SUM(BL10,BL16,BL19,BL30)</f>
        <v>251</v>
      </c>
      <c r="BM38" s="303">
        <v>3.82</v>
      </c>
      <c r="BN38" s="209" t="s">
        <v>57</v>
      </c>
      <c r="BO38" s="210" t="s">
        <v>57</v>
      </c>
      <c r="BP38" s="132"/>
      <c r="BQ38" s="172">
        <f>SUM(BQ11:BQ14,BQ17:BQ17,BQ20:BQ28,BQ31:BQ36)</f>
        <v>37</v>
      </c>
      <c r="BR38" s="89">
        <f>SUM(BR11:BR14,BR17:BR17,BR20:BR28,BR31:BR36)</f>
        <v>14866</v>
      </c>
      <c r="BS38" s="97">
        <f>SUM(BS11:BS14,BS17:BS17,BS20:BS28,BS31:BS36)</f>
        <v>1337</v>
      </c>
      <c r="BT38" s="199">
        <f>BR38/BS38/100</f>
        <v>0.11118922961854899</v>
      </c>
      <c r="BU38" s="209" t="s">
        <v>57</v>
      </c>
      <c r="BV38" s="210" t="s">
        <v>57</v>
      </c>
    </row>
    <row r="39" spans="2:74" ht="15" x14ac:dyDescent="0.25">
      <c r="C39" s="148" t="s">
        <v>97</v>
      </c>
      <c r="D39" s="245">
        <f>S39</f>
        <v>0</v>
      </c>
      <c r="E39" s="246">
        <f>AB39</f>
        <v>72000</v>
      </c>
      <c r="F39" s="247">
        <v>0</v>
      </c>
      <c r="G39" s="247">
        <f>SUM(D39:F39)</f>
        <v>72000</v>
      </c>
      <c r="I39" s="231"/>
      <c r="J39" s="231"/>
      <c r="K39" s="231"/>
      <c r="P39" s="470">
        <v>0</v>
      </c>
      <c r="Q39" s="149">
        <f>ABS(SUM(Q11:Q14,Q17,Q20:Q28,Q31:Q36))</f>
        <v>0</v>
      </c>
      <c r="R39" s="149">
        <f>Q39</f>
        <v>0</v>
      </c>
      <c r="S39" s="276">
        <f>P39+ROUND(Q39,0)</f>
        <v>0</v>
      </c>
      <c r="U39" s="258"/>
      <c r="V39" s="258"/>
      <c r="W39" s="258"/>
      <c r="X39" s="259"/>
      <c r="Y39" s="469">
        <f>30000+42000</f>
        <v>72000</v>
      </c>
      <c r="Z39" s="149">
        <f>ABS(SUM(Z11:Z14,Z17,Z20:Z28,Z31:Z36))</f>
        <v>0</v>
      </c>
      <c r="AA39" s="149">
        <f>Y39+Z39</f>
        <v>72000</v>
      </c>
      <c r="AB39" s="276">
        <f>Y39+ROUND(Z39,0)</f>
        <v>72000</v>
      </c>
      <c r="AC39" s="114"/>
      <c r="AD39" s="114"/>
      <c r="AK39" s="114"/>
      <c r="AL39" s="114"/>
      <c r="AM39" s="114"/>
      <c r="AN39" s="114"/>
      <c r="AO39" s="114"/>
      <c r="AP39" s="114"/>
      <c r="AW39" s="114"/>
      <c r="BE39" s="114"/>
      <c r="BK39" s="114"/>
      <c r="BP39" s="114"/>
    </row>
    <row r="40" spans="2:74" ht="15" x14ac:dyDescent="0.25">
      <c r="C40" s="37" t="s">
        <v>98</v>
      </c>
      <c r="D40" s="249">
        <f>S40</f>
        <v>0</v>
      </c>
      <c r="E40" s="250">
        <f>AB40</f>
        <v>0</v>
      </c>
      <c r="F40" s="251">
        <v>0</v>
      </c>
      <c r="G40" s="251">
        <f>SUM(D40:F40)</f>
        <v>0</v>
      </c>
      <c r="I40" s="151"/>
      <c r="J40" s="151"/>
      <c r="K40" s="151"/>
      <c r="P40" s="146">
        <v>0</v>
      </c>
      <c r="Q40" s="147" t="s">
        <v>57</v>
      </c>
      <c r="R40" s="147" t="s">
        <v>57</v>
      </c>
      <c r="S40" s="277">
        <f>(P38-S39)-S41</f>
        <v>0</v>
      </c>
      <c r="U40" s="260"/>
      <c r="V40" s="260"/>
      <c r="W40" s="260"/>
      <c r="X40" s="261"/>
      <c r="Y40" s="321">
        <v>0</v>
      </c>
      <c r="Z40" s="147" t="s">
        <v>57</v>
      </c>
      <c r="AA40" s="147" t="s">
        <v>57</v>
      </c>
      <c r="AB40" s="277">
        <f>(Y38-AB39)-AB41</f>
        <v>0</v>
      </c>
      <c r="AC40" s="114"/>
      <c r="AD40" s="114"/>
      <c r="AK40" s="114"/>
      <c r="AL40" s="114"/>
      <c r="AM40" s="114"/>
      <c r="AN40" s="114"/>
      <c r="AO40" s="114"/>
      <c r="AP40" s="114"/>
      <c r="AW40" s="114"/>
      <c r="BE40" s="114"/>
      <c r="BK40" s="114"/>
      <c r="BP40" s="114"/>
    </row>
    <row r="41" spans="2:74" ht="15.75" thickBot="1" x14ac:dyDescent="0.3">
      <c r="C41" s="38" t="s">
        <v>99</v>
      </c>
      <c r="D41" s="242">
        <f>SUM(D11:D14,D17,D20:D28,D31:D36)</f>
        <v>418560</v>
      </c>
      <c r="E41" s="243">
        <f>SUM(E11:E14,E17,E20:E28,E31:E36)</f>
        <v>102291</v>
      </c>
      <c r="F41" s="244">
        <f>SUM(F11:F14,F17,F20:F28,F31:F36)</f>
        <v>48000</v>
      </c>
      <c r="G41" s="244">
        <f>SUM(D41:F41)</f>
        <v>568851</v>
      </c>
      <c r="I41" s="151"/>
      <c r="J41" s="151"/>
      <c r="K41" s="151"/>
      <c r="P41" s="144">
        <f>P38-P39</f>
        <v>418560</v>
      </c>
      <c r="Q41" s="145" t="s">
        <v>57</v>
      </c>
      <c r="R41" s="145" t="s">
        <v>57</v>
      </c>
      <c r="S41" s="278">
        <f>SUM(S11:S14,S17,S20:S28,S31:S36)</f>
        <v>418560</v>
      </c>
      <c r="U41" s="262"/>
      <c r="V41" s="262"/>
      <c r="W41" s="262"/>
      <c r="X41" s="263"/>
      <c r="Y41" s="322">
        <f>Y38-Y39</f>
        <v>102291</v>
      </c>
      <c r="Z41" s="323" t="s">
        <v>57</v>
      </c>
      <c r="AA41" s="323" t="s">
        <v>57</v>
      </c>
      <c r="AB41" s="278">
        <f>SUM(AB11:AB14,AB17,AB20:AB28,AB31:AB36)</f>
        <v>102291</v>
      </c>
    </row>
    <row r="42" spans="2:74" x14ac:dyDescent="0.2">
      <c r="C42" s="133" t="s">
        <v>100</v>
      </c>
      <c r="D42" s="134">
        <f>SUM(D39:D41)</f>
        <v>418560</v>
      </c>
      <c r="E42" s="134">
        <f>SUM(E39:E41)</f>
        <v>174291</v>
      </c>
      <c r="F42" s="134">
        <f>SUM(F39:F41)</f>
        <v>48000</v>
      </c>
      <c r="G42" s="134">
        <f>SUM(G39:G41)</f>
        <v>640851</v>
      </c>
      <c r="P42" s="134">
        <f>SUM(P11:P14,P17,P20:P28,P31:P36)+P39</f>
        <v>418560.00000000006</v>
      </c>
      <c r="S42" s="134">
        <f>SUM(S39:S41)</f>
        <v>418560</v>
      </c>
      <c r="U42" s="134"/>
      <c r="V42" s="134"/>
      <c r="W42" s="134"/>
      <c r="X42" s="134"/>
      <c r="Y42" s="134">
        <f>SUM(Y11:Y14,Y17:Y17,Y20:Y28,Y31:Y36)+Y39</f>
        <v>174291</v>
      </c>
      <c r="AB42" s="134">
        <f>SUM(AB39:AB41)</f>
        <v>174291</v>
      </c>
    </row>
    <row r="43" spans="2:74" x14ac:dyDescent="0.2">
      <c r="AD43" s="139"/>
    </row>
  </sheetData>
  <mergeCells count="14">
    <mergeCell ref="E5:G5"/>
    <mergeCell ref="D7:G7"/>
    <mergeCell ref="I7:J7"/>
    <mergeCell ref="AD7:AG7"/>
    <mergeCell ref="AH7:AJ7"/>
    <mergeCell ref="L7:M7"/>
    <mergeCell ref="L4:N4"/>
    <mergeCell ref="BF7:BJ7"/>
    <mergeCell ref="BL7:BO7"/>
    <mergeCell ref="BQ7:BV7"/>
    <mergeCell ref="U7:AB7"/>
    <mergeCell ref="AQ7:AV7"/>
    <mergeCell ref="AX7:BD7"/>
    <mergeCell ref="AL7:AO7"/>
  </mergeCells>
  <phoneticPr fontId="2" type="noConversion"/>
  <conditionalFormatting sqref="AY11:AY14 BA11:BA14 AY17 BA17 AY20:AY28 BA20:BA28 AY31:AY36 BA31:BA36">
    <cfRule type="cellIs" dxfId="1" priority="1" operator="greaterThan">
      <formula>0</formula>
    </cfRule>
  </conditionalFormatting>
  <pageMargins left="0.23622047244094491" right="0.23622047244094491" top="0.39370078740157483" bottom="0.51181102362204722" header="0.51181102362204722" footer="0.51181102362204722"/>
  <pageSetup paperSize="9" scale="58" orientation="landscape" r:id="rId1"/>
  <headerFooter alignWithMargins="0"/>
  <colBreaks count="3" manualBreakCount="3">
    <brk id="15" max="42" man="1"/>
    <brk id="29" max="45" man="1"/>
    <brk id="56" max="4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43"/>
  <sheetViews>
    <sheetView showGridLines="0" topLeftCell="B1" zoomScale="80" zoomScaleNormal="80" zoomScaleSheetLayoutView="80" workbookViewId="0">
      <pane xSplit="2" ySplit="8" topLeftCell="F9" activePane="bottomRight" state="frozen"/>
      <selection activeCell="B1" sqref="B1"/>
      <selection pane="topRight" activeCell="E1" sqref="E1"/>
      <selection pane="bottomLeft" activeCell="B9" sqref="B9"/>
      <selection pane="bottomRight" activeCell="W46" sqref="W46"/>
    </sheetView>
  </sheetViews>
  <sheetFormatPr defaultRowHeight="12.75" x14ac:dyDescent="0.2"/>
  <cols>
    <col min="1" max="1" width="7.28515625" hidden="1" customWidth="1"/>
    <col min="2" max="2" width="9.7109375" bestFit="1" customWidth="1"/>
    <col min="3" max="3" width="40.7109375" customWidth="1"/>
    <col min="4" max="4" width="16.140625" bestFit="1" customWidth="1"/>
    <col min="5" max="5" width="16.140625" customWidth="1"/>
    <col min="6" max="6" width="16.7109375" customWidth="1"/>
    <col min="7" max="7" width="1.42578125" style="1" customWidth="1"/>
    <col min="8" max="8" width="8" style="1" hidden="1" customWidth="1"/>
    <col min="9" max="9" width="14.140625" style="1" hidden="1" customWidth="1"/>
    <col min="10" max="10" width="9.7109375" style="1" hidden="1" customWidth="1"/>
    <col min="11" max="11" width="10.5703125" hidden="1" customWidth="1"/>
    <col min="12" max="12" width="14.85546875" style="1" hidden="1" customWidth="1"/>
    <col min="13" max="13" width="10.5703125" style="1" hidden="1" customWidth="1"/>
    <col min="14" max="14" width="1.42578125" style="1" hidden="1" customWidth="1"/>
    <col min="15" max="15" width="17.28515625" hidden="1" customWidth="1"/>
    <col min="16" max="16" width="12.42578125" hidden="1" customWidth="1"/>
    <col min="17" max="17" width="15" hidden="1" customWidth="1"/>
    <col min="18" max="18" width="15.140625" hidden="1" customWidth="1"/>
    <col min="19" max="19" width="1.42578125" style="1" hidden="1" customWidth="1"/>
    <col min="20" max="20" width="11.42578125" customWidth="1"/>
    <col min="21" max="21" width="15.140625" customWidth="1"/>
    <col min="22" max="22" width="19.42578125" customWidth="1"/>
    <col min="23" max="23" width="18" customWidth="1"/>
    <col min="24" max="24" width="17.28515625" customWidth="1"/>
    <col min="25" max="25" width="13.7109375" customWidth="1"/>
    <col min="26" max="26" width="14.85546875" customWidth="1"/>
    <col min="27" max="27" width="15.140625" customWidth="1"/>
    <col min="28" max="28" width="1.42578125" hidden="1" customWidth="1"/>
    <col min="29" max="29" width="10.5703125" hidden="1" customWidth="1"/>
    <col min="30" max="30" width="12.85546875" hidden="1" customWidth="1"/>
    <col min="31" max="31" width="10.7109375" hidden="1" customWidth="1"/>
    <col min="32" max="32" width="8.85546875" hidden="1" customWidth="1"/>
    <col min="33" max="33" width="11.7109375" hidden="1" customWidth="1"/>
    <col min="34" max="35" width="11.7109375" style="1" hidden="1" customWidth="1"/>
    <col min="36" max="36" width="1.42578125" hidden="1" customWidth="1"/>
    <col min="37" max="38" width="5.7109375" hidden="1" customWidth="1"/>
    <col min="39" max="39" width="12.28515625" hidden="1" customWidth="1"/>
    <col min="40" max="40" width="11.7109375" hidden="1" customWidth="1"/>
    <col min="41" max="41" width="1.42578125" hidden="1" customWidth="1"/>
    <col min="42" max="43" width="5.7109375" style="1" hidden="1" customWidth="1"/>
    <col min="44" max="45" width="10.7109375" style="1" hidden="1" customWidth="1"/>
    <col min="46" max="46" width="9.28515625" style="1" hidden="1" customWidth="1"/>
    <col min="47" max="47" width="9.7109375" style="1" hidden="1" customWidth="1"/>
    <col min="48" max="48" width="1.42578125" hidden="1" customWidth="1"/>
    <col min="49" max="49" width="11.7109375" hidden="1" customWidth="1"/>
    <col min="50" max="51" width="11.7109375" style="1" hidden="1" customWidth="1"/>
    <col min="52" max="52" width="13.85546875" style="1" hidden="1" customWidth="1"/>
    <col min="53" max="53" width="8.7109375" style="1" hidden="1" customWidth="1"/>
    <col min="54" max="54" width="9.28515625" style="1" hidden="1" customWidth="1"/>
    <col min="55" max="55" width="10.5703125" style="1" hidden="1" customWidth="1"/>
    <col min="56" max="56" width="1.42578125" hidden="1" customWidth="1"/>
    <col min="57" max="61" width="11.7109375" style="1" hidden="1" customWidth="1"/>
    <col min="62" max="62" width="1.42578125" hidden="1" customWidth="1"/>
    <col min="63" max="63" width="9.42578125" style="1" hidden="1" customWidth="1"/>
    <col min="64" max="64" width="9.85546875" style="1" hidden="1" customWidth="1"/>
    <col min="65" max="65" width="8.7109375" style="1" hidden="1" customWidth="1"/>
    <col min="66" max="66" width="11.85546875" style="1" hidden="1" customWidth="1"/>
    <col min="67" max="67" width="1.42578125" hidden="1" customWidth="1"/>
    <col min="68" max="69" width="9.85546875" style="1" hidden="1" customWidth="1"/>
    <col min="70" max="70" width="14.7109375" style="1" hidden="1" customWidth="1"/>
    <col min="71" max="71" width="7.7109375" style="1" hidden="1" customWidth="1"/>
    <col min="72" max="72" width="6.85546875" style="1" hidden="1" customWidth="1"/>
    <col min="73" max="73" width="10.5703125" style="1" hidden="1" customWidth="1"/>
  </cols>
  <sheetData>
    <row r="1" spans="2:73" s="2" customFormat="1" ht="36" x14ac:dyDescent="0.2">
      <c r="B1" s="10"/>
      <c r="C1" s="11" t="s">
        <v>116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  <c r="R1" s="13"/>
      <c r="S1" s="12"/>
      <c r="T1" s="13"/>
      <c r="U1" s="13"/>
      <c r="V1" s="13"/>
      <c r="W1" s="13"/>
      <c r="X1" s="13"/>
      <c r="Y1" s="13"/>
      <c r="Z1" s="13"/>
      <c r="AA1" s="13"/>
      <c r="AB1" s="13"/>
      <c r="AC1" s="13"/>
      <c r="AD1" s="11"/>
      <c r="AE1" s="11"/>
      <c r="AF1" s="11"/>
      <c r="AG1" s="11"/>
      <c r="AJ1" s="13"/>
      <c r="AK1" s="13"/>
      <c r="AL1" s="13"/>
      <c r="AM1" s="13"/>
      <c r="AN1" s="13"/>
      <c r="AO1" s="13"/>
      <c r="AV1" s="13"/>
      <c r="AW1" s="11"/>
      <c r="BD1" s="13"/>
      <c r="BJ1" s="13"/>
      <c r="BO1" s="13"/>
    </row>
    <row r="2" spans="2:73" s="2" customFormat="1" ht="6" customHeight="1" x14ac:dyDescent="0.25">
      <c r="B2" s="10"/>
      <c r="C2" s="1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4"/>
      <c r="S2" s="15"/>
      <c r="T2" s="4"/>
      <c r="U2" s="4"/>
      <c r="V2" s="4"/>
      <c r="W2" s="4"/>
      <c r="X2" s="4"/>
      <c r="Y2" s="4"/>
      <c r="Z2" s="4"/>
      <c r="AA2" s="4"/>
      <c r="AB2" s="4"/>
      <c r="AC2" s="4"/>
      <c r="AD2" s="14"/>
      <c r="AE2" s="14"/>
      <c r="AF2" s="14"/>
      <c r="AG2" s="14"/>
      <c r="AJ2" s="4"/>
      <c r="AK2" s="4"/>
      <c r="AL2" s="4"/>
      <c r="AM2" s="4"/>
      <c r="AN2" s="4"/>
      <c r="AO2" s="4"/>
      <c r="AV2" s="4"/>
      <c r="AW2" s="14"/>
      <c r="BD2" s="4"/>
      <c r="BJ2" s="4"/>
      <c r="BO2" s="4"/>
    </row>
    <row r="3" spans="2:73" s="2" customFormat="1" ht="21" customHeight="1" x14ac:dyDescent="0.25">
      <c r="B3" s="10"/>
      <c r="C3" s="16" t="s">
        <v>0</v>
      </c>
      <c r="N3" s="110"/>
      <c r="S3" s="110"/>
      <c r="AF3" s="16"/>
      <c r="AG3" s="16"/>
      <c r="AW3" s="16"/>
    </row>
    <row r="4" spans="2:73" s="2" customFormat="1" ht="15" x14ac:dyDescent="0.25">
      <c r="B4" s="10"/>
      <c r="C4" s="14" t="s">
        <v>1</v>
      </c>
      <c r="F4" s="344"/>
      <c r="G4" s="344"/>
      <c r="I4" s="112"/>
      <c r="J4" s="113"/>
      <c r="K4" s="551"/>
      <c r="L4" s="551"/>
      <c r="M4" s="551"/>
      <c r="N4" s="113"/>
      <c r="O4" s="2" t="s">
        <v>2</v>
      </c>
      <c r="S4" s="113"/>
      <c r="AF4" s="14"/>
      <c r="AG4" s="14"/>
      <c r="AW4" s="14"/>
    </row>
    <row r="5" spans="2:73" s="2" customFormat="1" ht="15.75" customHeight="1" x14ac:dyDescent="0.25">
      <c r="B5" s="10"/>
      <c r="C5" s="14" t="s">
        <v>3</v>
      </c>
      <c r="D5" s="282" t="s">
        <v>107</v>
      </c>
      <c r="E5" s="566" t="s">
        <v>117</v>
      </c>
      <c r="F5" s="566"/>
      <c r="H5" s="15"/>
      <c r="I5" s="15"/>
      <c r="K5" s="17"/>
      <c r="L5" s="15"/>
      <c r="M5" s="15"/>
      <c r="O5" s="135">
        <f>O41/(AG38*1+AH38*2+AI38*3)</f>
        <v>0</v>
      </c>
      <c r="P5" s="2" t="s">
        <v>4</v>
      </c>
      <c r="Q5" s="2" t="s">
        <v>5</v>
      </c>
      <c r="T5" s="135"/>
      <c r="U5" s="135"/>
      <c r="V5" s="135"/>
      <c r="W5" s="135"/>
      <c r="X5" s="135"/>
      <c r="AC5" s="337" t="s">
        <v>104</v>
      </c>
      <c r="AF5" s="14"/>
      <c r="AG5" s="16" t="s">
        <v>104</v>
      </c>
      <c r="AK5" s="6" t="s">
        <v>104</v>
      </c>
      <c r="AP5" s="337" t="s">
        <v>104</v>
      </c>
      <c r="AW5" s="337" t="s">
        <v>104</v>
      </c>
      <c r="BE5" s="337" t="s">
        <v>104</v>
      </c>
      <c r="BK5" s="337" t="s">
        <v>104</v>
      </c>
      <c r="BP5" s="337" t="s">
        <v>104</v>
      </c>
    </row>
    <row r="6" spans="2:73" s="3" customFormat="1" ht="7.5" customHeight="1" thickBot="1" x14ac:dyDescent="0.3">
      <c r="B6" s="18"/>
      <c r="C6" s="6"/>
      <c r="D6" s="7"/>
      <c r="E6" s="7"/>
      <c r="F6" s="7"/>
      <c r="G6" s="8"/>
      <c r="H6" s="8"/>
      <c r="I6" s="8"/>
      <c r="J6" s="8"/>
      <c r="K6" s="7"/>
      <c r="L6" s="8"/>
      <c r="M6" s="8"/>
      <c r="N6" s="8"/>
      <c r="O6" s="6"/>
      <c r="P6" s="6"/>
      <c r="Q6" s="6"/>
      <c r="R6" s="6"/>
      <c r="S6" s="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9"/>
      <c r="AI6" s="7"/>
      <c r="AJ6" s="6"/>
      <c r="AL6" s="6"/>
      <c r="AM6" s="6"/>
      <c r="AN6" s="6"/>
      <c r="AO6" s="6"/>
      <c r="AP6" s="7"/>
      <c r="AQ6" s="7"/>
      <c r="AR6" s="7"/>
      <c r="AS6" s="7"/>
      <c r="AT6" s="7"/>
      <c r="AU6" s="7"/>
      <c r="AV6" s="6"/>
      <c r="AW6" s="6"/>
      <c r="AX6" s="9"/>
      <c r="AY6" s="7"/>
      <c r="AZ6" s="7"/>
      <c r="BA6" s="7"/>
      <c r="BB6" s="7"/>
      <c r="BC6" s="7"/>
      <c r="BD6" s="6"/>
      <c r="BE6" s="7"/>
      <c r="BF6" s="7"/>
      <c r="BG6" s="7"/>
      <c r="BH6" s="7"/>
      <c r="BI6" s="7"/>
      <c r="BJ6" s="6"/>
      <c r="BK6" s="7"/>
      <c r="BL6" s="7"/>
      <c r="BM6" s="7"/>
      <c r="BN6" s="7"/>
      <c r="BO6" s="6"/>
      <c r="BP6" s="7"/>
      <c r="BQ6" s="7"/>
      <c r="BR6" s="7"/>
      <c r="BS6" s="7"/>
      <c r="BT6" s="7"/>
      <c r="BU6" s="7"/>
    </row>
    <row r="7" spans="2:73" s="3" customFormat="1" ht="15" x14ac:dyDescent="0.25">
      <c r="B7" s="32" t="s">
        <v>6</v>
      </c>
      <c r="C7" s="19" t="s">
        <v>7</v>
      </c>
      <c r="D7" s="575" t="s">
        <v>8</v>
      </c>
      <c r="E7" s="558"/>
      <c r="F7" s="559"/>
      <c r="G7" s="118"/>
      <c r="H7" s="570" t="s">
        <v>113</v>
      </c>
      <c r="I7" s="571"/>
      <c r="J7" s="264" t="s">
        <v>9</v>
      </c>
      <c r="K7" s="570" t="s">
        <v>114</v>
      </c>
      <c r="L7" s="571"/>
      <c r="M7" s="264" t="s">
        <v>9</v>
      </c>
      <c r="N7" s="118"/>
      <c r="O7" s="339" t="s">
        <v>10</v>
      </c>
      <c r="P7" s="340"/>
      <c r="Q7" s="340"/>
      <c r="R7" s="341"/>
      <c r="S7" s="118"/>
      <c r="T7" s="557" t="s">
        <v>11</v>
      </c>
      <c r="U7" s="558"/>
      <c r="V7" s="558"/>
      <c r="W7" s="558"/>
      <c r="X7" s="558"/>
      <c r="Y7" s="558"/>
      <c r="Z7" s="558"/>
      <c r="AA7" s="559"/>
      <c r="AB7" s="129"/>
      <c r="AC7" s="557" t="s">
        <v>12</v>
      </c>
      <c r="AD7" s="558"/>
      <c r="AE7" s="558"/>
      <c r="AF7" s="558"/>
      <c r="AG7" s="572" t="s">
        <v>13</v>
      </c>
      <c r="AH7" s="573"/>
      <c r="AI7" s="574"/>
      <c r="AJ7" s="129"/>
      <c r="AK7" s="563" t="s">
        <v>14</v>
      </c>
      <c r="AL7" s="564"/>
      <c r="AM7" s="564"/>
      <c r="AN7" s="565"/>
      <c r="AO7" s="129"/>
      <c r="AP7" s="554" t="s">
        <v>15</v>
      </c>
      <c r="AQ7" s="555"/>
      <c r="AR7" s="555"/>
      <c r="AS7" s="555"/>
      <c r="AT7" s="555"/>
      <c r="AU7" s="556"/>
      <c r="AV7" s="129"/>
      <c r="AW7" s="560" t="s">
        <v>16</v>
      </c>
      <c r="AX7" s="561"/>
      <c r="AY7" s="561"/>
      <c r="AZ7" s="561"/>
      <c r="BA7" s="561"/>
      <c r="BB7" s="561"/>
      <c r="BC7" s="562"/>
      <c r="BD7" s="129"/>
      <c r="BE7" s="552" t="s">
        <v>17</v>
      </c>
      <c r="BF7" s="553"/>
      <c r="BG7" s="553"/>
      <c r="BH7" s="553"/>
      <c r="BI7" s="553"/>
      <c r="BJ7" s="129"/>
      <c r="BK7" s="554" t="s">
        <v>18</v>
      </c>
      <c r="BL7" s="555"/>
      <c r="BM7" s="555"/>
      <c r="BN7" s="556"/>
      <c r="BO7" s="129"/>
      <c r="BP7" s="554" t="s">
        <v>105</v>
      </c>
      <c r="BQ7" s="555"/>
      <c r="BR7" s="555"/>
      <c r="BS7" s="555"/>
      <c r="BT7" s="555"/>
      <c r="BU7" s="556"/>
    </row>
    <row r="8" spans="2:73" s="3" customFormat="1" ht="15.75" thickBot="1" x14ac:dyDescent="0.3">
      <c r="B8" s="33" t="s">
        <v>19</v>
      </c>
      <c r="C8" s="20" t="s">
        <v>20</v>
      </c>
      <c r="D8" s="83" t="s">
        <v>21</v>
      </c>
      <c r="E8" s="30" t="s">
        <v>22</v>
      </c>
      <c r="F8" s="228" t="s">
        <v>23</v>
      </c>
      <c r="G8" s="118"/>
      <c r="H8" s="482" t="s">
        <v>24</v>
      </c>
      <c r="I8" s="25" t="s">
        <v>25</v>
      </c>
      <c r="J8" s="265" t="s">
        <v>26</v>
      </c>
      <c r="K8" s="152" t="s">
        <v>24</v>
      </c>
      <c r="L8" s="25" t="s">
        <v>25</v>
      </c>
      <c r="M8" s="265" t="s">
        <v>26</v>
      </c>
      <c r="N8" s="118"/>
      <c r="O8" s="122" t="s">
        <v>27</v>
      </c>
      <c r="P8" s="141" t="s">
        <v>9</v>
      </c>
      <c r="Q8" s="141" t="s">
        <v>28</v>
      </c>
      <c r="R8" s="211" t="s">
        <v>26</v>
      </c>
      <c r="S8" s="118"/>
      <c r="T8" s="122" t="s">
        <v>29</v>
      </c>
      <c r="U8" s="24" t="s">
        <v>30</v>
      </c>
      <c r="V8" s="83" t="s">
        <v>31</v>
      </c>
      <c r="W8" s="211" t="s">
        <v>32</v>
      </c>
      <c r="X8" s="21" t="s">
        <v>27</v>
      </c>
      <c r="Y8" s="141" t="s">
        <v>9</v>
      </c>
      <c r="Z8" s="141" t="s">
        <v>28</v>
      </c>
      <c r="AA8" s="211" t="s">
        <v>26</v>
      </c>
      <c r="AB8" s="130"/>
      <c r="AC8" s="122" t="s">
        <v>23</v>
      </c>
      <c r="AD8" s="26" t="s">
        <v>33</v>
      </c>
      <c r="AE8" s="27" t="s">
        <v>34</v>
      </c>
      <c r="AF8" s="22" t="s">
        <v>35</v>
      </c>
      <c r="AG8" s="28" t="s">
        <v>36</v>
      </c>
      <c r="AH8" s="29" t="s">
        <v>37</v>
      </c>
      <c r="AI8" s="30" t="s">
        <v>38</v>
      </c>
      <c r="AJ8" s="130"/>
      <c r="AK8" s="180">
        <v>2013</v>
      </c>
      <c r="AL8" s="163">
        <v>2014</v>
      </c>
      <c r="AM8" s="24" t="s">
        <v>39</v>
      </c>
      <c r="AN8" s="30" t="s">
        <v>40</v>
      </c>
      <c r="AO8" s="130"/>
      <c r="AP8" s="180">
        <v>2013</v>
      </c>
      <c r="AQ8" s="163">
        <v>2014</v>
      </c>
      <c r="AR8" s="24" t="s">
        <v>39</v>
      </c>
      <c r="AS8" s="83" t="s">
        <v>40</v>
      </c>
      <c r="AT8" s="23" t="s">
        <v>29</v>
      </c>
      <c r="AU8" s="228" t="s">
        <v>41</v>
      </c>
      <c r="AV8" s="130"/>
      <c r="AW8" s="28" t="s">
        <v>42</v>
      </c>
      <c r="AX8" s="29" t="s">
        <v>43</v>
      </c>
      <c r="AY8" s="83" t="s">
        <v>44</v>
      </c>
      <c r="AZ8" s="30" t="s">
        <v>45</v>
      </c>
      <c r="BA8" s="21" t="s">
        <v>46</v>
      </c>
      <c r="BB8" s="23" t="s">
        <v>29</v>
      </c>
      <c r="BC8" s="225" t="s">
        <v>47</v>
      </c>
      <c r="BD8" s="130"/>
      <c r="BE8" s="23" t="s">
        <v>23</v>
      </c>
      <c r="BF8" s="24" t="s">
        <v>48</v>
      </c>
      <c r="BG8" s="24" t="s">
        <v>49</v>
      </c>
      <c r="BH8" s="24" t="s">
        <v>50</v>
      </c>
      <c r="BI8" s="30" t="s">
        <v>106</v>
      </c>
      <c r="BJ8" s="130"/>
      <c r="BK8" s="122" t="s">
        <v>51</v>
      </c>
      <c r="BL8" s="122" t="s">
        <v>52</v>
      </c>
      <c r="BM8" s="23" t="s">
        <v>29</v>
      </c>
      <c r="BN8" s="228" t="s">
        <v>53</v>
      </c>
      <c r="BO8" s="130"/>
      <c r="BP8" s="122" t="s">
        <v>54</v>
      </c>
      <c r="BQ8" s="24" t="s">
        <v>55</v>
      </c>
      <c r="BR8" s="83" t="s">
        <v>56</v>
      </c>
      <c r="BS8" s="30" t="s">
        <v>46</v>
      </c>
      <c r="BT8" s="23" t="s">
        <v>29</v>
      </c>
      <c r="BU8" s="228" t="s">
        <v>41</v>
      </c>
    </row>
    <row r="9" spans="2:73" s="3" customFormat="1" ht="7.5" customHeight="1" thickBot="1" x14ac:dyDescent="0.3">
      <c r="B9" s="18"/>
      <c r="C9" s="6"/>
      <c r="D9" s="7"/>
      <c r="E9" s="7"/>
      <c r="F9" s="7"/>
      <c r="G9" s="36"/>
      <c r="H9" s="8"/>
      <c r="I9" s="8"/>
      <c r="J9" s="8"/>
      <c r="K9" s="8"/>
      <c r="L9" s="8"/>
      <c r="M9" s="8"/>
      <c r="N9" s="36"/>
      <c r="O9" s="6"/>
      <c r="P9" s="6"/>
      <c r="Q9" s="6"/>
      <c r="R9" s="6"/>
      <c r="S9" s="36"/>
      <c r="T9" s="304"/>
      <c r="U9" s="304"/>
      <c r="V9" s="304"/>
      <c r="W9" s="304"/>
      <c r="X9" s="304"/>
      <c r="Y9" s="304"/>
      <c r="Z9" s="304"/>
      <c r="AA9" s="304"/>
      <c r="AB9" s="6"/>
      <c r="AC9" s="6"/>
      <c r="AD9" s="6"/>
      <c r="AE9" s="6"/>
      <c r="AF9" s="6"/>
      <c r="AG9" s="6"/>
      <c r="AH9" s="9"/>
      <c r="AI9" s="7"/>
      <c r="AJ9" s="6"/>
      <c r="AK9" s="7"/>
      <c r="AL9" s="7"/>
      <c r="AM9" s="7"/>
      <c r="AN9" s="7"/>
      <c r="AO9" s="6"/>
      <c r="AP9" s="7"/>
      <c r="AQ9" s="7"/>
      <c r="AR9" s="7"/>
      <c r="AS9" s="7"/>
      <c r="AT9" s="7"/>
      <c r="AU9" s="7"/>
      <c r="AV9" s="6"/>
      <c r="AW9" s="6"/>
      <c r="AX9" s="9"/>
      <c r="AY9" s="7"/>
      <c r="AZ9" s="7"/>
      <c r="BA9" s="7"/>
      <c r="BB9" s="7"/>
      <c r="BC9" s="7"/>
      <c r="BD9" s="6"/>
      <c r="BE9" s="7"/>
      <c r="BF9" s="7"/>
      <c r="BG9" s="7"/>
      <c r="BH9" s="7"/>
      <c r="BI9" s="7"/>
      <c r="BJ9" s="6"/>
      <c r="BK9" s="7"/>
      <c r="BL9" s="7"/>
      <c r="BM9" s="7"/>
      <c r="BN9" s="7"/>
      <c r="BO9" s="6"/>
      <c r="BP9" s="7"/>
      <c r="BQ9" s="7"/>
      <c r="BR9" s="7"/>
      <c r="BS9" s="7"/>
      <c r="BT9" s="7"/>
      <c r="BU9" s="7"/>
    </row>
    <row r="10" spans="2:73" s="3" customFormat="1" ht="15" x14ac:dyDescent="0.25">
      <c r="B10" s="116" t="s">
        <v>57</v>
      </c>
      <c r="C10" s="218" t="s">
        <v>108</v>
      </c>
      <c r="D10" s="223" t="s">
        <v>57</v>
      </c>
      <c r="E10" s="226" t="s">
        <v>57</v>
      </c>
      <c r="F10" s="230" t="s">
        <v>57</v>
      </c>
      <c r="G10" s="119"/>
      <c r="H10" s="483" t="s">
        <v>57</v>
      </c>
      <c r="I10" s="39" t="s">
        <v>57</v>
      </c>
      <c r="J10" s="39" t="s">
        <v>57</v>
      </c>
      <c r="K10" s="153" t="s">
        <v>57</v>
      </c>
      <c r="L10" s="39" t="s">
        <v>57</v>
      </c>
      <c r="M10" s="39" t="s">
        <v>57</v>
      </c>
      <c r="N10" s="119"/>
      <c r="O10" s="123" t="s">
        <v>57</v>
      </c>
      <c r="P10" s="142" t="s">
        <v>57</v>
      </c>
      <c r="Q10" s="142" t="s">
        <v>57</v>
      </c>
      <c r="R10" s="212" t="s">
        <v>57</v>
      </c>
      <c r="S10" s="119"/>
      <c r="T10" s="123" t="s">
        <v>57</v>
      </c>
      <c r="U10" s="40" t="s">
        <v>57</v>
      </c>
      <c r="V10" s="142" t="s">
        <v>57</v>
      </c>
      <c r="W10" s="212" t="s">
        <v>57</v>
      </c>
      <c r="X10" s="305" t="s">
        <v>57</v>
      </c>
      <c r="Y10" s="142" t="s">
        <v>57</v>
      </c>
      <c r="Z10" s="142" t="s">
        <v>57</v>
      </c>
      <c r="AA10" s="212" t="s">
        <v>57</v>
      </c>
      <c r="AB10" s="131"/>
      <c r="AC10" s="123">
        <f>SUM(AC11:AC14)</f>
        <v>424</v>
      </c>
      <c r="AD10" s="40">
        <f>SUM(AD11:AD14)</f>
        <v>417</v>
      </c>
      <c r="AE10" s="40" t="s">
        <v>57</v>
      </c>
      <c r="AF10" s="41">
        <f>SUM(AF11:AF14)</f>
        <v>7</v>
      </c>
      <c r="AG10" s="42">
        <f>SUM(AG11:AG14)</f>
        <v>108</v>
      </c>
      <c r="AH10" s="43">
        <f>SUM(AH11:AH14)</f>
        <v>59</v>
      </c>
      <c r="AI10" s="44">
        <f>SUM(AI11:AI14)</f>
        <v>257</v>
      </c>
      <c r="AJ10" s="131"/>
      <c r="AK10" s="167">
        <f>SUM(AK11:AK14)</f>
        <v>396</v>
      </c>
      <c r="AL10" s="173">
        <f>SUM(AL11:AL14)</f>
        <v>424</v>
      </c>
      <c r="AM10" s="474">
        <f>SUM(AM11:AM14)</f>
        <v>28</v>
      </c>
      <c r="AN10" s="475">
        <f>AM10/AK10</f>
        <v>7.0707070707070704E-2</v>
      </c>
      <c r="AO10" s="131"/>
      <c r="AP10" s="167">
        <f>SUM(AP11:AP14)</f>
        <v>236</v>
      </c>
      <c r="AQ10" s="173">
        <f>SUM(AQ11:AQ14)</f>
        <v>257</v>
      </c>
      <c r="AR10" s="474">
        <f>SUM(AR11:AR14)</f>
        <v>21</v>
      </c>
      <c r="AS10" s="475">
        <f>AR10/AP10</f>
        <v>8.8983050847457626E-2</v>
      </c>
      <c r="AT10" s="104" t="s">
        <v>57</v>
      </c>
      <c r="AU10" s="41" t="s">
        <v>57</v>
      </c>
      <c r="AV10" s="131"/>
      <c r="AW10" s="181" t="s">
        <v>57</v>
      </c>
      <c r="AX10" s="43" t="s">
        <v>57</v>
      </c>
      <c r="AY10" s="84" t="s">
        <v>57</v>
      </c>
      <c r="AZ10" s="44" t="s">
        <v>57</v>
      </c>
      <c r="BA10" s="104" t="s">
        <v>57</v>
      </c>
      <c r="BB10" s="104" t="s">
        <v>57</v>
      </c>
      <c r="BC10" s="41" t="s">
        <v>57</v>
      </c>
      <c r="BD10" s="131"/>
      <c r="BE10" s="104" t="s">
        <v>57</v>
      </c>
      <c r="BF10" s="98" t="s">
        <v>57</v>
      </c>
      <c r="BG10" s="92" t="s">
        <v>57</v>
      </c>
      <c r="BH10" s="92" t="s">
        <v>57</v>
      </c>
      <c r="BI10" s="92" t="s">
        <v>57</v>
      </c>
      <c r="BJ10" s="131"/>
      <c r="BK10" s="336">
        <f>SUM(BK11:BK14)</f>
        <v>40</v>
      </c>
      <c r="BL10" s="293" t="s">
        <v>57</v>
      </c>
      <c r="BM10" s="162" t="s">
        <v>57</v>
      </c>
      <c r="BN10" s="194" t="s">
        <v>57</v>
      </c>
      <c r="BO10" s="131"/>
      <c r="BP10" s="167" t="s">
        <v>57</v>
      </c>
      <c r="BQ10" s="84" t="s">
        <v>57</v>
      </c>
      <c r="BR10" s="92">
        <f>AP10</f>
        <v>236</v>
      </c>
      <c r="BS10" s="194" t="s">
        <v>57</v>
      </c>
      <c r="BT10" s="104" t="s">
        <v>57</v>
      </c>
      <c r="BU10" s="41" t="s">
        <v>57</v>
      </c>
    </row>
    <row r="11" spans="2:73" s="3" customFormat="1" ht="15" x14ac:dyDescent="0.25">
      <c r="B11" s="201" t="s">
        <v>58</v>
      </c>
      <c r="C11" s="219" t="s">
        <v>59</v>
      </c>
      <c r="D11" s="232">
        <f>R11</f>
        <v>0</v>
      </c>
      <c r="E11" s="233">
        <f>AA11</f>
        <v>5337</v>
      </c>
      <c r="F11" s="252">
        <f>D11+E11</f>
        <v>5337</v>
      </c>
      <c r="G11" s="117"/>
      <c r="H11" s="484">
        <v>0</v>
      </c>
      <c r="I11" s="46">
        <v>0</v>
      </c>
      <c r="J11" s="80">
        <f>IF(I11="","",I11*5/100)</f>
        <v>0</v>
      </c>
      <c r="K11" s="155">
        <v>0</v>
      </c>
      <c r="L11" s="46">
        <v>0</v>
      </c>
      <c r="M11" s="80">
        <f>IF(L11="","",L11*5/100)</f>
        <v>0</v>
      </c>
      <c r="N11" s="117"/>
      <c r="O11" s="136">
        <f>$O$5*AG11+$O$5*2*AH11+$O$5*3*AI11</f>
        <v>0</v>
      </c>
      <c r="P11" s="266">
        <f>-O11*J11</f>
        <v>0</v>
      </c>
      <c r="Q11" s="266">
        <f>O11+P11</f>
        <v>0</v>
      </c>
      <c r="R11" s="269">
        <f>ROUND(Q11,0)</f>
        <v>0</v>
      </c>
      <c r="S11" s="117"/>
      <c r="T11" s="306">
        <f>SUM(AU11,BC11,BN11,BU11)</f>
        <v>78.617035936300198</v>
      </c>
      <c r="U11" s="307">
        <f>(T11/($T$38/21))-1</f>
        <v>0.37312214947566646</v>
      </c>
      <c r="V11" s="308">
        <f>T11*AC11</f>
        <v>14937.236827897037</v>
      </c>
      <c r="W11" s="309">
        <f>V11/$V$38</f>
        <v>0.11119748090065598</v>
      </c>
      <c r="X11" s="310">
        <f>ROUND(W11*$X$41,0)</f>
        <v>5337</v>
      </c>
      <c r="Y11" s="266">
        <f>-X11*M11</f>
        <v>0</v>
      </c>
      <c r="Z11" s="266">
        <f>X11+Y11</f>
        <v>5337</v>
      </c>
      <c r="AA11" s="269">
        <f>ROUND(Z11,0)</f>
        <v>5337</v>
      </c>
      <c r="AB11" s="45"/>
      <c r="AC11" s="124">
        <f>AD11+AF11</f>
        <v>190</v>
      </c>
      <c r="AD11" s="284">
        <v>184</v>
      </c>
      <c r="AE11" s="47">
        <v>1</v>
      </c>
      <c r="AF11" s="48">
        <v>6</v>
      </c>
      <c r="AG11" s="49">
        <v>61</v>
      </c>
      <c r="AH11" s="50">
        <v>19</v>
      </c>
      <c r="AI11" s="51">
        <v>110</v>
      </c>
      <c r="AJ11" s="45"/>
      <c r="AK11" s="168">
        <v>152</v>
      </c>
      <c r="AL11" s="175">
        <v>190</v>
      </c>
      <c r="AM11" s="164">
        <f>AL11-AK11</f>
        <v>38</v>
      </c>
      <c r="AN11" s="285">
        <f>AM11/AK11</f>
        <v>0.25</v>
      </c>
      <c r="AO11" s="45"/>
      <c r="AP11" s="168">
        <v>78</v>
      </c>
      <c r="AQ11" s="174">
        <v>110</v>
      </c>
      <c r="AR11" s="164">
        <f>AQ11-AP11</f>
        <v>32</v>
      </c>
      <c r="AS11" s="187">
        <f>AR11/AP11</f>
        <v>0.41025641025641024</v>
      </c>
      <c r="AT11" s="214">
        <f>100*(AS11-MIN(AS$11:AS$14,AS$17:AS$17,AS$20:AS$28,AS$31:AS$36))/(MAX(AS$11:AS$14,AS$17:AS$17,AS$20:AS$28,AS$31:AS$36)-MIN(AS$11:AS$14,AS$17:AS$17,AS$20:AS$28,AS$31:AS$36))</f>
        <v>86.193293885601577</v>
      </c>
      <c r="AU11" s="279">
        <f>AT11*0.2</f>
        <v>17.238658777120317</v>
      </c>
      <c r="AV11" s="45"/>
      <c r="AW11" s="182">
        <f>BE11-AX11</f>
        <v>4</v>
      </c>
      <c r="AX11" s="50">
        <v>1</v>
      </c>
      <c r="AY11" s="85">
        <f t="shared" ref="AY11:AY14" si="0">BF11-AZ11</f>
        <v>3</v>
      </c>
      <c r="AZ11" s="51">
        <v>0</v>
      </c>
      <c r="BA11" s="191">
        <f>(AW11+AY11)/SUM(AW11:AZ11)</f>
        <v>0.875</v>
      </c>
      <c r="BB11" s="214">
        <f>100*(BA11-MIN(BA$11:BA$14,BA$17:BA$17,BA$20:BA$28,BA$31:BA$36))/(MAX(BA$11:BA$14,BA$17:BA$17,BA$20:BA$28,BA$31:BA$36)-MIN(BA$11:BA$14,BA$17:BA$17,BA$20:BA$28,BA$31:BA$36))</f>
        <v>83.333333333333329</v>
      </c>
      <c r="BC11" s="279">
        <f>BB11*0.25</f>
        <v>20.833333333333332</v>
      </c>
      <c r="BD11" s="45"/>
      <c r="BE11" s="105">
        <f>SUM(BF11:BI11)</f>
        <v>5</v>
      </c>
      <c r="BF11" s="99">
        <v>3</v>
      </c>
      <c r="BG11" s="93">
        <v>0</v>
      </c>
      <c r="BH11" s="93">
        <v>1</v>
      </c>
      <c r="BI11" s="91">
        <v>1</v>
      </c>
      <c r="BJ11" s="45"/>
      <c r="BK11" s="294">
        <v>13</v>
      </c>
      <c r="BL11" s="295">
        <v>4.46</v>
      </c>
      <c r="BM11" s="206">
        <f>100*(BL11-MIN(BL$11:BL$14,BL$17:BL$17,BL$20:BL$28,BL$31:BL$36))/(MAX(BL$11:BL$14,BL$17:BL$17,BL$20:BL$28,BL$31:BL$36)-MIN(BL$11:BL$14,BL$17:BL$17,BL$20:BL$28,BL$31:BL$36))</f>
        <v>87.109375</v>
      </c>
      <c r="BN11" s="279">
        <f>BM11*0.35</f>
        <v>30.488281249999996</v>
      </c>
      <c r="BO11" s="45"/>
      <c r="BP11" s="168">
        <v>2</v>
      </c>
      <c r="BQ11" s="200">
        <v>734</v>
      </c>
      <c r="BR11" s="93">
        <f>AP11</f>
        <v>78</v>
      </c>
      <c r="BS11" s="196">
        <f>BQ11/BR11/100</f>
        <v>9.410256410256411E-2</v>
      </c>
      <c r="BT11" s="206">
        <f>100*(BS11-MIN(BS$11:BS$14,BS$17:BS$17,BS$20:BS$28,BS$31:BS$36))/(MAX(BS$11:BS$14,BS$17:BS$17,BS$20:BS$28,BS$31:BS$36)-MIN(BS$11:BS$14,BS$17:BS$17,BS$20:BS$28,BS$31:BS$36))</f>
        <v>50.28381287923272</v>
      </c>
      <c r="BU11" s="279">
        <f>BT11*0.2</f>
        <v>10.056762575846545</v>
      </c>
    </row>
    <row r="12" spans="2:73" s="3" customFormat="1" ht="15" x14ac:dyDescent="0.25">
      <c r="B12" s="202" t="s">
        <v>60</v>
      </c>
      <c r="C12" s="220" t="s">
        <v>61</v>
      </c>
      <c r="D12" s="234">
        <f>R12</f>
        <v>0</v>
      </c>
      <c r="E12" s="235">
        <f>AA12</f>
        <v>1054</v>
      </c>
      <c r="F12" s="253">
        <f>D12+E12</f>
        <v>1054</v>
      </c>
      <c r="G12" s="120"/>
      <c r="H12" s="485">
        <v>0</v>
      </c>
      <c r="I12" s="157">
        <v>0</v>
      </c>
      <c r="J12" s="158">
        <f t="shared" ref="J12:J14" si="1">IF(I12="","",I12*5/100)</f>
        <v>0</v>
      </c>
      <c r="K12" s="156">
        <v>0</v>
      </c>
      <c r="L12" s="157">
        <v>0</v>
      </c>
      <c r="M12" s="158">
        <f t="shared" ref="M12:M14" si="2">IF(L12="","",L12*5/100)</f>
        <v>0</v>
      </c>
      <c r="N12" s="120"/>
      <c r="O12" s="137">
        <f t="shared" ref="O12:O14" si="3">$O$5*AG12+$O$5*2*AH12+$O$5*3*AI12</f>
        <v>0</v>
      </c>
      <c r="P12" s="330">
        <f>-O12*J12</f>
        <v>0</v>
      </c>
      <c r="Q12" s="267">
        <f>O12+P12</f>
        <v>0</v>
      </c>
      <c r="R12" s="270">
        <f t="shared" ref="R12:R14" si="4">ROUND(Q12,0)</f>
        <v>0</v>
      </c>
      <c r="S12" s="120"/>
      <c r="T12" s="311">
        <f>SUM(AU12,BC12,BN12,BU12)</f>
        <v>46.800783361702969</v>
      </c>
      <c r="U12" s="312">
        <f>(T12/($T$38/21))-1</f>
        <v>-0.18257930381862619</v>
      </c>
      <c r="V12" s="313">
        <f>T12*AC12</f>
        <v>2948.449351787287</v>
      </c>
      <c r="W12" s="314">
        <f>V12/$V$38</f>
        <v>2.1949182720970267E-2</v>
      </c>
      <c r="X12" s="315">
        <f>ROUND(W12*$X$41,0)</f>
        <v>1054</v>
      </c>
      <c r="Y12" s="330">
        <f>-X12*M12</f>
        <v>0</v>
      </c>
      <c r="Z12" s="267">
        <f t="shared" ref="Z12:Z36" si="5">X12+Y12</f>
        <v>1054</v>
      </c>
      <c r="AA12" s="270">
        <f t="shared" ref="AA12:AA36" si="6">ROUND(Z12,0)</f>
        <v>1054</v>
      </c>
      <c r="AB12" s="45"/>
      <c r="AC12" s="125">
        <f>AD12+AF12</f>
        <v>63</v>
      </c>
      <c r="AD12" s="53">
        <v>62</v>
      </c>
      <c r="AE12" s="53">
        <v>0</v>
      </c>
      <c r="AF12" s="54">
        <v>1</v>
      </c>
      <c r="AG12" s="55">
        <v>14</v>
      </c>
      <c r="AH12" s="56">
        <v>9</v>
      </c>
      <c r="AI12" s="57">
        <v>40</v>
      </c>
      <c r="AJ12" s="45"/>
      <c r="AK12" s="169">
        <v>66</v>
      </c>
      <c r="AL12" s="175">
        <v>63</v>
      </c>
      <c r="AM12" s="165">
        <f t="shared" ref="AM12:AM14" si="7">AL12-AK12</f>
        <v>-3</v>
      </c>
      <c r="AN12" s="286">
        <f t="shared" ref="AN12:AN14" si="8">AM12/AK12</f>
        <v>-4.5454545454545456E-2</v>
      </c>
      <c r="AO12" s="45"/>
      <c r="AP12" s="169">
        <v>45</v>
      </c>
      <c r="AQ12" s="175">
        <v>40</v>
      </c>
      <c r="AR12" s="165">
        <f t="shared" ref="AR12:AR14" si="9">AQ12-AP12</f>
        <v>-5</v>
      </c>
      <c r="AS12" s="188">
        <f t="shared" ref="AS12:AS14" si="10">AR12/AP12</f>
        <v>-0.1111111111111111</v>
      </c>
      <c r="AT12" s="215">
        <f>100*(AS12-MIN(AS$11:AS$14,AS$17:AS$17,AS$20:AS$28,AS$31:AS$36))/(MAX(AS$11:AS$14,AS$17:AS$17,AS$20:AS$28,AS$31:AS$36)-MIN(AS$11:AS$14,AS$17:AS$17,AS$20:AS$28,AS$31:AS$36))</f>
        <v>5.982905982905983</v>
      </c>
      <c r="AU12" s="280">
        <f t="shared" ref="AU12:AU36" si="11">AT12*0.2</f>
        <v>1.1965811965811965</v>
      </c>
      <c r="AV12" s="45"/>
      <c r="AW12" s="183">
        <f t="shared" ref="AW12:AW14" si="12">BE12-AX12</f>
        <v>4</v>
      </c>
      <c r="AX12" s="56">
        <v>0</v>
      </c>
      <c r="AY12" s="86">
        <f t="shared" si="0"/>
        <v>1</v>
      </c>
      <c r="AZ12" s="57">
        <v>2</v>
      </c>
      <c r="BA12" s="191">
        <f>(AW12+AY12)/SUM(AW12:AZ12)</f>
        <v>0.7142857142857143</v>
      </c>
      <c r="BB12" s="215">
        <f>100*(BA12-MIN(BA$11:BA$14,BA$17:BA$17,BA$20:BA$28,BA$31:BA$36))/(MAX(BA$11:BA$14,BA$17:BA$17,BA$20:BA$28,BA$31:BA$36)-MIN(BA$11:BA$14,BA$17:BA$17,BA$20:BA$28,BA$31:BA$36))</f>
        <v>61.904761904761905</v>
      </c>
      <c r="BC12" s="280">
        <f t="shared" ref="BC12:BC36" si="13">BB12*0.25</f>
        <v>15.476190476190476</v>
      </c>
      <c r="BD12" s="45"/>
      <c r="BE12" s="106">
        <f>SUM(BF12:BI12)</f>
        <v>4</v>
      </c>
      <c r="BF12" s="100">
        <v>3</v>
      </c>
      <c r="BG12" s="94">
        <v>1</v>
      </c>
      <c r="BH12" s="94">
        <v>0</v>
      </c>
      <c r="BI12" s="57">
        <v>0</v>
      </c>
      <c r="BJ12" s="45"/>
      <c r="BK12" s="296">
        <v>10</v>
      </c>
      <c r="BL12" s="297">
        <v>2.5</v>
      </c>
      <c r="BM12" s="207">
        <f>100*(BL12-MIN(BL$11:BL$14,BL$17:BL$17,BL$20:BL$28,BL$31:BL$36))/(MAX(BL$11:BL$14,BL$17:BL$17,BL$20:BL$28,BL$31:BL$36)-MIN(BL$11:BL$14,BL$17:BL$17,BL$20:BL$28,BL$31:BL$36))</f>
        <v>48.828125</v>
      </c>
      <c r="BN12" s="280">
        <f t="shared" ref="BN12:BN36" si="14">BM12*0.35</f>
        <v>17.08984375</v>
      </c>
      <c r="BO12" s="45"/>
      <c r="BP12" s="169">
        <v>1</v>
      </c>
      <c r="BQ12" s="86">
        <v>549</v>
      </c>
      <c r="BR12" s="94">
        <f>AP12</f>
        <v>45</v>
      </c>
      <c r="BS12" s="197">
        <f>BQ12/BR12/100</f>
        <v>0.122</v>
      </c>
      <c r="BT12" s="207">
        <f>100*(BS12-MIN(BS$11:BS$14,BS$17:BS$17,BS$20:BS$28,BS$31:BS$36))/(MAX(BS$11:BS$14,BS$17:BS$17,BS$20:BS$28,BS$31:BS$36)-MIN(BS$11:BS$14,BS$17:BS$17,BS$20:BS$28,BS$31:BS$36))</f>
        <v>65.190839694656475</v>
      </c>
      <c r="BU12" s="280">
        <f t="shared" ref="BU12:BU36" si="15">BT12*0.2</f>
        <v>13.038167938931295</v>
      </c>
    </row>
    <row r="13" spans="2:73" s="3" customFormat="1" ht="15" x14ac:dyDescent="0.25">
      <c r="B13" s="202" t="s">
        <v>62</v>
      </c>
      <c r="C13" s="220" t="s">
        <v>63</v>
      </c>
      <c r="D13" s="234">
        <f>R13</f>
        <v>0</v>
      </c>
      <c r="E13" s="235">
        <f>AA13</f>
        <v>929</v>
      </c>
      <c r="F13" s="253">
        <f>D13+E13</f>
        <v>929</v>
      </c>
      <c r="G13" s="120"/>
      <c r="H13" s="485">
        <v>0</v>
      </c>
      <c r="I13" s="157">
        <v>0</v>
      </c>
      <c r="J13" s="158">
        <f t="shared" si="1"/>
        <v>0</v>
      </c>
      <c r="K13" s="156">
        <v>0</v>
      </c>
      <c r="L13" s="157">
        <v>0</v>
      </c>
      <c r="M13" s="158">
        <f t="shared" si="2"/>
        <v>0</v>
      </c>
      <c r="N13" s="120"/>
      <c r="O13" s="137">
        <f t="shared" si="3"/>
        <v>0</v>
      </c>
      <c r="P13" s="330">
        <f>-O13*J13</f>
        <v>0</v>
      </c>
      <c r="Q13" s="267">
        <f>O13+P13</f>
        <v>0</v>
      </c>
      <c r="R13" s="270">
        <f t="shared" si="4"/>
        <v>0</v>
      </c>
      <c r="S13" s="120"/>
      <c r="T13" s="311">
        <f>SUM(AU13,BC13,BN13,BU13)</f>
        <v>39.987668819729883</v>
      </c>
      <c r="U13" s="312">
        <f>(T13/($T$38/21))-1</f>
        <v>-0.30157690240626722</v>
      </c>
      <c r="V13" s="313">
        <f>T13*AC13</f>
        <v>2599.1984732824426</v>
      </c>
      <c r="W13" s="314">
        <f>V13/$V$38</f>
        <v>1.9349249524520617E-2</v>
      </c>
      <c r="X13" s="315">
        <f>ROUND(W13*$X$41,0)</f>
        <v>929</v>
      </c>
      <c r="Y13" s="330">
        <f>-X13*M13</f>
        <v>0</v>
      </c>
      <c r="Z13" s="267">
        <f t="shared" si="5"/>
        <v>929</v>
      </c>
      <c r="AA13" s="270">
        <f t="shared" si="6"/>
        <v>929</v>
      </c>
      <c r="AB13" s="45"/>
      <c r="AC13" s="125">
        <f>AD13+AF13</f>
        <v>65</v>
      </c>
      <c r="AD13" s="53">
        <v>65</v>
      </c>
      <c r="AE13" s="53">
        <v>0</v>
      </c>
      <c r="AF13" s="54">
        <v>0</v>
      </c>
      <c r="AG13" s="55">
        <v>17</v>
      </c>
      <c r="AH13" s="56">
        <v>14</v>
      </c>
      <c r="AI13" s="57">
        <v>34</v>
      </c>
      <c r="AJ13" s="45"/>
      <c r="AK13" s="169">
        <v>61</v>
      </c>
      <c r="AL13" s="175">
        <v>65</v>
      </c>
      <c r="AM13" s="165">
        <f t="shared" si="7"/>
        <v>4</v>
      </c>
      <c r="AN13" s="286">
        <f t="shared" si="8"/>
        <v>6.5573770491803282E-2</v>
      </c>
      <c r="AO13" s="45"/>
      <c r="AP13" s="169">
        <v>30</v>
      </c>
      <c r="AQ13" s="175">
        <v>34</v>
      </c>
      <c r="AR13" s="165">
        <f t="shared" si="9"/>
        <v>4</v>
      </c>
      <c r="AS13" s="188">
        <f t="shared" si="10"/>
        <v>0.13333333333333333</v>
      </c>
      <c r="AT13" s="215">
        <f>100*(AS13-MIN(AS$11:AS$14,AS$17:AS$17,AS$20:AS$28,AS$31:AS$36))/(MAX(AS$11:AS$14,AS$17:AS$17,AS$20:AS$28,AS$31:AS$36)-MIN(AS$11:AS$14,AS$17:AS$17,AS$20:AS$28,AS$31:AS$36))</f>
        <v>43.589743589743584</v>
      </c>
      <c r="AU13" s="280">
        <f t="shared" si="11"/>
        <v>8.7179487179487172</v>
      </c>
      <c r="AV13" s="45"/>
      <c r="AW13" s="183">
        <f t="shared" si="12"/>
        <v>4</v>
      </c>
      <c r="AX13" s="56">
        <v>0</v>
      </c>
      <c r="AY13" s="86">
        <f>BF13-AZ13</f>
        <v>2</v>
      </c>
      <c r="AZ13" s="57">
        <v>0</v>
      </c>
      <c r="BA13" s="191">
        <f>(AW13+AY13)/SUM(AW13:AZ13)</f>
        <v>1</v>
      </c>
      <c r="BB13" s="215">
        <f>100*(BA13-MIN(BA$11:BA$14,BA$17:BA$17,BA$20:BA$28,BA$31:BA$36))/(MAX(BA$11:BA$14,BA$17:BA$17,BA$20:BA$28,BA$31:BA$36)-MIN(BA$11:BA$14,BA$17:BA$17,BA$20:BA$28,BA$31:BA$36))</f>
        <v>100</v>
      </c>
      <c r="BC13" s="280">
        <f t="shared" si="13"/>
        <v>25</v>
      </c>
      <c r="BD13" s="45"/>
      <c r="BE13" s="106">
        <f>SUM(BF13:BI13)</f>
        <v>4</v>
      </c>
      <c r="BF13" s="100">
        <v>2</v>
      </c>
      <c r="BG13" s="94">
        <v>1</v>
      </c>
      <c r="BH13" s="94">
        <v>1</v>
      </c>
      <c r="BI13" s="57">
        <v>0</v>
      </c>
      <c r="BJ13" s="45"/>
      <c r="BK13" s="296">
        <v>0</v>
      </c>
      <c r="BL13" s="297">
        <v>0</v>
      </c>
      <c r="BM13" s="207">
        <f>100*(BL13-MIN(BL$11:BL$14,BL$17:BL$17,BL$20:BL$28,BL$31:BL$36))/(MAX(BL$11:BL$14,BL$17:BL$17,BL$20:BL$28,BL$31:BL$36)-MIN(BL$11:BL$14,BL$17:BL$17,BL$20:BL$28,BL$31:BL$36))</f>
        <v>0</v>
      </c>
      <c r="BN13" s="280">
        <f t="shared" si="14"/>
        <v>0</v>
      </c>
      <c r="BO13" s="45"/>
      <c r="BP13" s="169">
        <v>1</v>
      </c>
      <c r="BQ13" s="86">
        <v>176</v>
      </c>
      <c r="BR13" s="94">
        <f>AP13</f>
        <v>30</v>
      </c>
      <c r="BS13" s="197">
        <f>BQ13/BR13/100</f>
        <v>5.8666666666666666E-2</v>
      </c>
      <c r="BT13" s="207">
        <f>100*(BS13-MIN(BS$11:BS$14,BS$17:BS$17,BS$20:BS$28,BS$31:BS$36))/(MAX(BS$11:BS$14,BS$17:BS$17,BS$20:BS$28,BS$31:BS$36)-MIN(BS$11:BS$14,BS$17:BS$17,BS$20:BS$28,BS$31:BS$36))</f>
        <v>31.348600508905847</v>
      </c>
      <c r="BU13" s="280">
        <f t="shared" si="15"/>
        <v>6.2697201017811697</v>
      </c>
    </row>
    <row r="14" spans="2:73" s="3" customFormat="1" ht="15.75" thickBot="1" x14ac:dyDescent="0.3">
      <c r="B14" s="203" t="s">
        <v>64</v>
      </c>
      <c r="C14" s="221" t="s">
        <v>65</v>
      </c>
      <c r="D14" s="236">
        <f>R14</f>
        <v>0</v>
      </c>
      <c r="E14" s="237">
        <f>AA14</f>
        <v>2476</v>
      </c>
      <c r="F14" s="254">
        <f>D14+E14</f>
        <v>2476</v>
      </c>
      <c r="G14" s="120"/>
      <c r="H14" s="486">
        <v>0</v>
      </c>
      <c r="I14" s="160">
        <v>0</v>
      </c>
      <c r="J14" s="161">
        <f t="shared" si="1"/>
        <v>0</v>
      </c>
      <c r="K14" s="159">
        <v>0</v>
      </c>
      <c r="L14" s="160">
        <v>0</v>
      </c>
      <c r="M14" s="161">
        <f t="shared" si="2"/>
        <v>0</v>
      </c>
      <c r="N14" s="120"/>
      <c r="O14" s="138">
        <f t="shared" si="3"/>
        <v>0</v>
      </c>
      <c r="P14" s="331">
        <f>-O14*J14</f>
        <v>0</v>
      </c>
      <c r="Q14" s="268">
        <f>O14+P14</f>
        <v>0</v>
      </c>
      <c r="R14" s="271">
        <f t="shared" si="4"/>
        <v>0</v>
      </c>
      <c r="S14" s="120"/>
      <c r="T14" s="316">
        <f>SUM(AU14,BC14,BN14,BU14)</f>
        <v>65.367885058862711</v>
      </c>
      <c r="U14" s="317">
        <f>(T14/($T$38/21))-1</f>
        <v>0.14171298586518533</v>
      </c>
      <c r="V14" s="318">
        <f>T14*AC14</f>
        <v>6928.9958162394478</v>
      </c>
      <c r="W14" s="319">
        <f>V14/$V$38</f>
        <v>5.1581620403717297E-2</v>
      </c>
      <c r="X14" s="320">
        <f>ROUND(W14*$X$41,0)</f>
        <v>2476</v>
      </c>
      <c r="Y14" s="331">
        <f>-X14*M14</f>
        <v>0</v>
      </c>
      <c r="Z14" s="268">
        <f t="shared" si="5"/>
        <v>2476</v>
      </c>
      <c r="AA14" s="271">
        <f t="shared" si="6"/>
        <v>2476</v>
      </c>
      <c r="AB14" s="45"/>
      <c r="AC14" s="126">
        <f>AD14+AF14</f>
        <v>106</v>
      </c>
      <c r="AD14" s="59">
        <v>106</v>
      </c>
      <c r="AE14" s="59">
        <v>0</v>
      </c>
      <c r="AF14" s="60">
        <v>0</v>
      </c>
      <c r="AG14" s="61">
        <v>16</v>
      </c>
      <c r="AH14" s="62">
        <v>17</v>
      </c>
      <c r="AI14" s="63">
        <v>73</v>
      </c>
      <c r="AJ14" s="45"/>
      <c r="AK14" s="170">
        <v>117</v>
      </c>
      <c r="AL14" s="176">
        <v>106</v>
      </c>
      <c r="AM14" s="166">
        <f t="shared" si="7"/>
        <v>-11</v>
      </c>
      <c r="AN14" s="287">
        <f t="shared" si="8"/>
        <v>-9.4017094017094016E-2</v>
      </c>
      <c r="AO14" s="45"/>
      <c r="AP14" s="170">
        <v>83</v>
      </c>
      <c r="AQ14" s="176">
        <v>73</v>
      </c>
      <c r="AR14" s="166">
        <f t="shared" si="9"/>
        <v>-10</v>
      </c>
      <c r="AS14" s="189">
        <f t="shared" si="10"/>
        <v>-0.12048192771084337</v>
      </c>
      <c r="AT14" s="216">
        <f>100*(AS14-MIN(AS$11:AS$14,AS$17:AS$17,AS$20:AS$28,AS$31:AS$36))/(MAX(AS$11:AS$14,AS$17:AS$17,AS$20:AS$28,AS$31:AS$36)-MIN(AS$11:AS$14,AS$17:AS$17,AS$20:AS$28,AS$31:AS$36))</f>
        <v>4.5412418906394798</v>
      </c>
      <c r="AU14" s="281">
        <f t="shared" si="11"/>
        <v>0.90824837812789605</v>
      </c>
      <c r="AV14" s="45"/>
      <c r="AW14" s="184">
        <f t="shared" si="12"/>
        <v>5</v>
      </c>
      <c r="AX14" s="62">
        <v>0</v>
      </c>
      <c r="AY14" s="87">
        <f t="shared" si="0"/>
        <v>3</v>
      </c>
      <c r="AZ14" s="63">
        <v>1</v>
      </c>
      <c r="BA14" s="192">
        <f>(AW14+AY14)/SUM(AW14:AZ14)</f>
        <v>0.88888888888888884</v>
      </c>
      <c r="BB14" s="216">
        <f>100*(BA14-MIN(BA$11:BA$14,BA$17:BA$17,BA$20:BA$28,BA$31:BA$36))/(MAX(BA$11:BA$14,BA$17:BA$17,BA$20:BA$28,BA$31:BA$36)-MIN(BA$11:BA$14,BA$17:BA$17,BA$20:BA$28,BA$31:BA$36))</f>
        <v>85.185185185185176</v>
      </c>
      <c r="BC14" s="281">
        <f t="shared" si="13"/>
        <v>21.296296296296294</v>
      </c>
      <c r="BD14" s="45"/>
      <c r="BE14" s="107">
        <f>SUM(BF14:BI14)</f>
        <v>5</v>
      </c>
      <c r="BF14" s="101">
        <v>4</v>
      </c>
      <c r="BG14" s="95">
        <v>0</v>
      </c>
      <c r="BH14" s="95">
        <v>1</v>
      </c>
      <c r="BI14" s="63">
        <v>0</v>
      </c>
      <c r="BJ14" s="45"/>
      <c r="BK14" s="298">
        <v>17</v>
      </c>
      <c r="BL14" s="299">
        <v>5.12</v>
      </c>
      <c r="BM14" s="208">
        <f>100*(BL14-MIN(BL$11:BL$14,BL$17:BL$17,BL$20:BL$28,BL$31:BL$36))/(MAX(BL$11:BL$14,BL$17:BL$17,BL$20:BL$28,BL$31:BL$36)-MIN(BL$11:BL$14,BL$17:BL$17,BL$20:BL$28,BL$31:BL$36))</f>
        <v>100</v>
      </c>
      <c r="BN14" s="281">
        <f t="shared" si="14"/>
        <v>35</v>
      </c>
      <c r="BO14" s="45"/>
      <c r="BP14" s="170">
        <v>3</v>
      </c>
      <c r="BQ14" s="87">
        <v>634</v>
      </c>
      <c r="BR14" s="95">
        <f>AP14</f>
        <v>83</v>
      </c>
      <c r="BS14" s="198">
        <f>BQ14/BR14/100</f>
        <v>7.63855421686747E-2</v>
      </c>
      <c r="BT14" s="208">
        <f>100*(BS14-MIN(BS$11:BS$14,BS$17:BS$17,BS$20:BS$28,BS$31:BS$36))/(MAX(BS$11:BS$14,BS$17:BS$17,BS$20:BS$28,BS$31:BS$36)-MIN(BS$11:BS$14,BS$17:BS$17,BS$20:BS$28,BS$31:BS$36))</f>
        <v>40.816701922192578</v>
      </c>
      <c r="BU14" s="281">
        <f t="shared" si="15"/>
        <v>8.1633403844385164</v>
      </c>
    </row>
    <row r="15" spans="2:73" s="3" customFormat="1" ht="7.5" customHeight="1" thickBot="1" x14ac:dyDescent="0.3">
      <c r="B15" s="204"/>
      <c r="C15" s="7"/>
      <c r="D15" s="34"/>
      <c r="E15" s="34"/>
      <c r="F15" s="3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6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6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291"/>
      <c r="BL15" s="289"/>
      <c r="BM15" s="45"/>
      <c r="BN15" s="45"/>
      <c r="BO15" s="45"/>
      <c r="BP15" s="45"/>
      <c r="BQ15" s="45"/>
      <c r="BR15" s="45"/>
      <c r="BS15" s="45"/>
      <c r="BT15" s="45"/>
      <c r="BU15" s="45"/>
    </row>
    <row r="16" spans="2:73" s="376" customFormat="1" ht="15" x14ac:dyDescent="0.25">
      <c r="B16" s="345" t="s">
        <v>57</v>
      </c>
      <c r="C16" s="346" t="s">
        <v>109</v>
      </c>
      <c r="D16" s="435" t="s">
        <v>57</v>
      </c>
      <c r="E16" s="436" t="s">
        <v>57</v>
      </c>
      <c r="F16" s="437" t="s">
        <v>57</v>
      </c>
      <c r="G16" s="347"/>
      <c r="H16" s="487" t="s">
        <v>57</v>
      </c>
      <c r="I16" s="433" t="s">
        <v>57</v>
      </c>
      <c r="J16" s="434" t="s">
        <v>57</v>
      </c>
      <c r="K16" s="442" t="s">
        <v>57</v>
      </c>
      <c r="L16" s="433" t="s">
        <v>57</v>
      </c>
      <c r="M16" s="434" t="s">
        <v>57</v>
      </c>
      <c r="N16" s="347"/>
      <c r="O16" s="348" t="s">
        <v>57</v>
      </c>
      <c r="P16" s="353" t="s">
        <v>57</v>
      </c>
      <c r="Q16" s="350" t="s">
        <v>57</v>
      </c>
      <c r="R16" s="445" t="s">
        <v>57</v>
      </c>
      <c r="S16" s="347"/>
      <c r="T16" s="348" t="s">
        <v>57</v>
      </c>
      <c r="U16" s="349" t="s">
        <v>57</v>
      </c>
      <c r="V16" s="350" t="s">
        <v>57</v>
      </c>
      <c r="W16" s="351" t="s">
        <v>57</v>
      </c>
      <c r="X16" s="352" t="s">
        <v>57</v>
      </c>
      <c r="Y16" s="353" t="s">
        <v>57</v>
      </c>
      <c r="Z16" s="350" t="s">
        <v>57</v>
      </c>
      <c r="AA16" s="445" t="s">
        <v>57</v>
      </c>
      <c r="AB16" s="354"/>
      <c r="AC16" s="355">
        <f>SUM(AC17:AC17)</f>
        <v>234</v>
      </c>
      <c r="AD16" s="356">
        <f>SUM(AD17:AD17)</f>
        <v>231</v>
      </c>
      <c r="AE16" s="471" t="s">
        <v>57</v>
      </c>
      <c r="AF16" s="357">
        <f>SUM(AF17:AF17)</f>
        <v>3</v>
      </c>
      <c r="AG16" s="358">
        <f>SUM(AG17:AG17)</f>
        <v>65</v>
      </c>
      <c r="AH16" s="359">
        <f>SUM(AH17:AH17)</f>
        <v>36</v>
      </c>
      <c r="AI16" s="360">
        <f>SUM(AI17:AI17)</f>
        <v>133</v>
      </c>
      <c r="AJ16" s="354"/>
      <c r="AK16" s="361">
        <f>SUM(AK17)</f>
        <v>253</v>
      </c>
      <c r="AL16" s="362">
        <f>SUM(AL17)</f>
        <v>234</v>
      </c>
      <c r="AM16" s="363">
        <f>SUM(AM17)</f>
        <v>-19</v>
      </c>
      <c r="AN16" s="364">
        <f>AM16/AK16</f>
        <v>-7.5098814229249009E-2</v>
      </c>
      <c r="AO16" s="354"/>
      <c r="AP16" s="361">
        <f>SUM(AP17:AP17)</f>
        <v>150</v>
      </c>
      <c r="AQ16" s="362">
        <f>SUM(AQ17:AQ17)</f>
        <v>133</v>
      </c>
      <c r="AR16" s="363">
        <f>SUM(AR17:AR17)</f>
        <v>-17</v>
      </c>
      <c r="AS16" s="365">
        <f>AR16/AP16</f>
        <v>-0.11333333333333333</v>
      </c>
      <c r="AT16" s="366" t="s">
        <v>57</v>
      </c>
      <c r="AU16" s="367" t="s">
        <v>57</v>
      </c>
      <c r="AV16" s="354"/>
      <c r="AW16" s="368" t="s">
        <v>57</v>
      </c>
      <c r="AX16" s="479" t="s">
        <v>57</v>
      </c>
      <c r="AY16" s="374" t="s">
        <v>57</v>
      </c>
      <c r="AZ16" s="480" t="s">
        <v>57</v>
      </c>
      <c r="BA16" s="369" t="s">
        <v>57</v>
      </c>
      <c r="BB16" s="366" t="s">
        <v>57</v>
      </c>
      <c r="BC16" s="367" t="s">
        <v>57</v>
      </c>
      <c r="BD16" s="354"/>
      <c r="BE16" s="366" t="s">
        <v>57</v>
      </c>
      <c r="BF16" s="370" t="s">
        <v>57</v>
      </c>
      <c r="BG16" s="371" t="s">
        <v>57</v>
      </c>
      <c r="BH16" s="371" t="s">
        <v>57</v>
      </c>
      <c r="BI16" s="367" t="s">
        <v>57</v>
      </c>
      <c r="BJ16" s="354"/>
      <c r="BK16" s="372">
        <f>SUM(BK17:BK17)</f>
        <v>51</v>
      </c>
      <c r="BL16" s="373">
        <v>3.33</v>
      </c>
      <c r="BM16" s="366" t="s">
        <v>57</v>
      </c>
      <c r="BN16" s="367" t="s">
        <v>57</v>
      </c>
      <c r="BO16" s="354"/>
      <c r="BP16" s="361" t="s">
        <v>57</v>
      </c>
      <c r="BQ16" s="374" t="s">
        <v>57</v>
      </c>
      <c r="BR16" s="371" t="s">
        <v>57</v>
      </c>
      <c r="BS16" s="375" t="s">
        <v>57</v>
      </c>
      <c r="BT16" s="366" t="s">
        <v>57</v>
      </c>
      <c r="BU16" s="367" t="s">
        <v>57</v>
      </c>
    </row>
    <row r="17" spans="2:73" s="332" customFormat="1" ht="15.75" thickBot="1" x14ac:dyDescent="0.3">
      <c r="B17" s="502" t="s">
        <v>102</v>
      </c>
      <c r="C17" s="503" t="s">
        <v>103</v>
      </c>
      <c r="D17" s="504">
        <f>R17</f>
        <v>0</v>
      </c>
      <c r="E17" s="505">
        <f>AA17</f>
        <v>4493</v>
      </c>
      <c r="F17" s="506">
        <f>D17+E17</f>
        <v>4493</v>
      </c>
      <c r="G17" s="451"/>
      <c r="H17" s="488">
        <v>0</v>
      </c>
      <c r="I17" s="160">
        <v>0</v>
      </c>
      <c r="J17" s="161">
        <f>IF(I17="","",I17*5/100)</f>
        <v>0</v>
      </c>
      <c r="K17" s="159">
        <v>0</v>
      </c>
      <c r="L17" s="160">
        <v>0</v>
      </c>
      <c r="M17" s="161">
        <f>IF(L17="","",L17*5/100)</f>
        <v>0</v>
      </c>
      <c r="N17" s="451"/>
      <c r="O17" s="138">
        <f>$O$5*AG17+$O$5*2*AH17+$O$5*3*AI17</f>
        <v>0</v>
      </c>
      <c r="P17" s="331">
        <f>-O17*J17</f>
        <v>0</v>
      </c>
      <c r="Q17" s="268">
        <f>O17+P17</f>
        <v>0</v>
      </c>
      <c r="R17" s="447">
        <f>ROUND(Q17,0)</f>
        <v>0</v>
      </c>
      <c r="S17" s="451"/>
      <c r="T17" s="507">
        <f>SUM(AU17,BC17,BN17,BU17)</f>
        <v>53.734043488119703</v>
      </c>
      <c r="U17" s="508">
        <f>(T17/($T$38/21))-1</f>
        <v>-6.1483247038094935E-2</v>
      </c>
      <c r="V17" s="509">
        <f>T17*AC17</f>
        <v>12573.76617622001</v>
      </c>
      <c r="W17" s="510">
        <f>V17/$V$38</f>
        <v>9.3603063293358962E-2</v>
      </c>
      <c r="X17" s="511">
        <f>ROUND(W17*$X$41,0)</f>
        <v>4493</v>
      </c>
      <c r="Y17" s="512">
        <f>-X17*M17</f>
        <v>0</v>
      </c>
      <c r="Z17" s="513">
        <f t="shared" si="5"/>
        <v>4493</v>
      </c>
      <c r="AA17" s="514">
        <f t="shared" si="6"/>
        <v>4493</v>
      </c>
      <c r="AB17" s="45"/>
      <c r="AC17" s="515">
        <f>AD17+AF17</f>
        <v>234</v>
      </c>
      <c r="AD17" s="516">
        <v>231</v>
      </c>
      <c r="AE17" s="516">
        <v>1</v>
      </c>
      <c r="AF17" s="517">
        <v>3</v>
      </c>
      <c r="AG17" s="518">
        <v>65</v>
      </c>
      <c r="AH17" s="519">
        <v>36</v>
      </c>
      <c r="AI17" s="520">
        <v>133</v>
      </c>
      <c r="AJ17" s="45"/>
      <c r="AK17" s="521">
        <v>253</v>
      </c>
      <c r="AL17" s="522">
        <v>234</v>
      </c>
      <c r="AM17" s="523">
        <f>AL17-AK17</f>
        <v>-19</v>
      </c>
      <c r="AN17" s="524">
        <f>AM17/AK17</f>
        <v>-7.5098814229249009E-2</v>
      </c>
      <c r="AO17" s="45"/>
      <c r="AP17" s="521">
        <v>150</v>
      </c>
      <c r="AQ17" s="522">
        <v>133</v>
      </c>
      <c r="AR17" s="523">
        <f>AQ17-AP17</f>
        <v>-17</v>
      </c>
      <c r="AS17" s="525">
        <f>AR17/AP17</f>
        <v>-0.11333333333333333</v>
      </c>
      <c r="AT17" s="526">
        <f>100*(AS17-MIN(AS$11:AS$14,AS$17:AS$17,AS$20:AS$28,AS$31:AS$36))/(MAX(AS$11:AS$14,AS$17:AS$17,AS$20:AS$28,AS$31:AS$36)-MIN(AS$11:AS$14,AS$17:AS$17,AS$20:AS$28,AS$31:AS$36))</f>
        <v>5.6410256410256405</v>
      </c>
      <c r="AU17" s="527">
        <f t="shared" si="11"/>
        <v>1.1282051282051282</v>
      </c>
      <c r="AV17" s="45"/>
      <c r="AW17" s="528">
        <f>BE17-AX17</f>
        <v>8</v>
      </c>
      <c r="AX17" s="519">
        <v>0</v>
      </c>
      <c r="AY17" s="529">
        <f>BF17-AZ17</f>
        <v>4</v>
      </c>
      <c r="AZ17" s="520">
        <v>2</v>
      </c>
      <c r="BA17" s="530">
        <f>(AW17+AY17)/SUM(AW17:AZ17)</f>
        <v>0.8571428571428571</v>
      </c>
      <c r="BB17" s="526">
        <f>100*(BA17-MIN(BA$11:BA$14,BA$17:BA$17,BA$20:BA$28,BA$31:BA$36))/(MAX(BA$11:BA$14,BA$17:BA$17,BA$20:BA$28,BA$31:BA$36)-MIN(BA$11:BA$14,BA$17:BA$17,BA$20:BA$28,BA$31:BA$36))</f>
        <v>80.952380952380949</v>
      </c>
      <c r="BC17" s="527">
        <f t="shared" si="13"/>
        <v>20.238095238095237</v>
      </c>
      <c r="BD17" s="45"/>
      <c r="BE17" s="531">
        <f>SUM(BF17:BI17)</f>
        <v>8</v>
      </c>
      <c r="BF17" s="532">
        <v>6</v>
      </c>
      <c r="BG17" s="533">
        <v>0</v>
      </c>
      <c r="BH17" s="533">
        <v>2</v>
      </c>
      <c r="BI17" s="520">
        <v>0</v>
      </c>
      <c r="BJ17" s="45"/>
      <c r="BK17" s="534">
        <v>51</v>
      </c>
      <c r="BL17" s="535">
        <v>3.33</v>
      </c>
      <c r="BM17" s="536">
        <f>100*(BL17-MIN(BL$11:BL$14,BL$17:BL$17,BL$20:BL$28,BL$31:BL$36))/(MAX(BL$11:BL$14,BL$17:BL$17,BL$20:BL$28,BL$31:BL$36)-MIN(BL$11:BL$14,BL$17:BL$17,BL$20:BL$28,BL$31:BL$36))</f>
        <v>65.0390625</v>
      </c>
      <c r="BN17" s="527">
        <f t="shared" si="14"/>
        <v>22.763671875</v>
      </c>
      <c r="BO17" s="45"/>
      <c r="BP17" s="521">
        <v>2</v>
      </c>
      <c r="BQ17" s="529">
        <v>1348</v>
      </c>
      <c r="BR17" s="533">
        <f>AP17</f>
        <v>150</v>
      </c>
      <c r="BS17" s="537">
        <f>BQ17/BR17/100</f>
        <v>8.9866666666666664E-2</v>
      </c>
      <c r="BT17" s="536">
        <f>100*(BS17-MIN(BS$11:BS$14,BS$17:BS$17,BS$20:BS$28,BS$31:BS$36))/(MAX(BS$11:BS$14,BS$17:BS$17,BS$20:BS$28,BS$31:BS$36)-MIN(BS$11:BS$14,BS$17:BS$17,BS$20:BS$28,BS$31:BS$36))</f>
        <v>48.020356234096681</v>
      </c>
      <c r="BU17" s="527">
        <f t="shared" si="15"/>
        <v>9.6040712468193377</v>
      </c>
    </row>
    <row r="18" spans="2:73" s="3" customFormat="1" ht="7.5" customHeight="1" thickBot="1" x14ac:dyDescent="0.3">
      <c r="B18" s="204"/>
      <c r="C18" s="7"/>
      <c r="D18" s="34"/>
      <c r="E18" s="34"/>
      <c r="F18" s="3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64"/>
      <c r="AG18" s="6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6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291"/>
      <c r="BL18" s="289"/>
      <c r="BM18" s="45"/>
      <c r="BN18" s="45"/>
      <c r="BO18" s="45"/>
      <c r="BP18" s="45"/>
      <c r="BQ18" s="45"/>
      <c r="BR18" s="45"/>
      <c r="BS18" s="45"/>
      <c r="BT18" s="45"/>
      <c r="BU18" s="45"/>
    </row>
    <row r="19" spans="2:73" s="3" customFormat="1" ht="15" x14ac:dyDescent="0.25">
      <c r="B19" s="115" t="s">
        <v>57</v>
      </c>
      <c r="C19" s="222" t="s">
        <v>110</v>
      </c>
      <c r="D19" s="224" t="s">
        <v>57</v>
      </c>
      <c r="E19" s="227" t="s">
        <v>57</v>
      </c>
      <c r="F19" s="229" t="s">
        <v>57</v>
      </c>
      <c r="G19" s="119"/>
      <c r="H19" s="489" t="s">
        <v>57</v>
      </c>
      <c r="I19" s="66" t="s">
        <v>57</v>
      </c>
      <c r="J19" s="66" t="s">
        <v>57</v>
      </c>
      <c r="K19" s="154" t="s">
        <v>57</v>
      </c>
      <c r="L19" s="66" t="s">
        <v>57</v>
      </c>
      <c r="M19" s="66" t="s">
        <v>57</v>
      </c>
      <c r="N19" s="119"/>
      <c r="O19" s="127" t="s">
        <v>57</v>
      </c>
      <c r="P19" s="143" t="s">
        <v>57</v>
      </c>
      <c r="Q19" s="143" t="s">
        <v>57</v>
      </c>
      <c r="R19" s="213" t="s">
        <v>57</v>
      </c>
      <c r="S19" s="119"/>
      <c r="T19" s="127" t="s">
        <v>57</v>
      </c>
      <c r="U19" s="67" t="s">
        <v>57</v>
      </c>
      <c r="V19" s="143" t="s">
        <v>57</v>
      </c>
      <c r="W19" s="213" t="s">
        <v>57</v>
      </c>
      <c r="X19" s="329" t="s">
        <v>57</v>
      </c>
      <c r="Y19" s="143" t="s">
        <v>57</v>
      </c>
      <c r="Z19" s="143" t="s">
        <v>57</v>
      </c>
      <c r="AA19" s="213" t="s">
        <v>57</v>
      </c>
      <c r="AB19" s="131"/>
      <c r="AC19" s="127">
        <f>SUM(AC20:AC28)</f>
        <v>728</v>
      </c>
      <c r="AD19" s="67">
        <f>SUM(AD20:AD28)</f>
        <v>723</v>
      </c>
      <c r="AE19" s="67" t="s">
        <v>57</v>
      </c>
      <c r="AF19" s="68">
        <f>SUM(AF20:AF28)</f>
        <v>5</v>
      </c>
      <c r="AG19" s="69">
        <f>SUM(AG20:AG28)</f>
        <v>194</v>
      </c>
      <c r="AH19" s="70">
        <f>SUM(AH20:AH28)</f>
        <v>98</v>
      </c>
      <c r="AI19" s="71">
        <f>SUM(AI20:AI28)</f>
        <v>436</v>
      </c>
      <c r="AJ19" s="131"/>
      <c r="AK19" s="171">
        <f>SUM(AK20:AK28)</f>
        <v>724</v>
      </c>
      <c r="AL19" s="177">
        <f>SUM(AL20:AL28)</f>
        <v>728</v>
      </c>
      <c r="AM19" s="476">
        <f>SUM(AM20:AM28)</f>
        <v>4</v>
      </c>
      <c r="AN19" s="477">
        <f>AM19/AK19</f>
        <v>5.5248618784530384E-3</v>
      </c>
      <c r="AO19" s="131"/>
      <c r="AP19" s="171">
        <f>SUM(AP20:AP28)</f>
        <v>432</v>
      </c>
      <c r="AQ19" s="177">
        <f>SUM(AQ20:AQ28)</f>
        <v>436</v>
      </c>
      <c r="AR19" s="476">
        <f>SUM(AR20:AR28)</f>
        <v>4</v>
      </c>
      <c r="AS19" s="478">
        <f>AR19/AP19</f>
        <v>9.2592592592592587E-3</v>
      </c>
      <c r="AT19" s="108" t="s">
        <v>57</v>
      </c>
      <c r="AU19" s="68" t="s">
        <v>57</v>
      </c>
      <c r="AV19" s="131"/>
      <c r="AW19" s="185" t="s">
        <v>57</v>
      </c>
      <c r="AX19" s="70" t="s">
        <v>57</v>
      </c>
      <c r="AY19" s="88" t="s">
        <v>57</v>
      </c>
      <c r="AZ19" s="71" t="s">
        <v>57</v>
      </c>
      <c r="BA19" s="108" t="s">
        <v>57</v>
      </c>
      <c r="BB19" s="108" t="s">
        <v>57</v>
      </c>
      <c r="BC19" s="68" t="s">
        <v>57</v>
      </c>
      <c r="BD19" s="131"/>
      <c r="BE19" s="108" t="s">
        <v>57</v>
      </c>
      <c r="BF19" s="102" t="s">
        <v>57</v>
      </c>
      <c r="BG19" s="96" t="s">
        <v>57</v>
      </c>
      <c r="BH19" s="338" t="s">
        <v>57</v>
      </c>
      <c r="BI19" s="71" t="s">
        <v>57</v>
      </c>
      <c r="BJ19" s="131"/>
      <c r="BK19" s="300">
        <f>SUM(BK20:BK28)</f>
        <v>93</v>
      </c>
      <c r="BL19" s="301" t="s">
        <v>57</v>
      </c>
      <c r="BM19" s="108" t="s">
        <v>57</v>
      </c>
      <c r="BN19" s="68" t="s">
        <v>57</v>
      </c>
      <c r="BO19" s="131"/>
      <c r="BP19" s="171" t="s">
        <v>57</v>
      </c>
      <c r="BQ19" s="88" t="s">
        <v>57</v>
      </c>
      <c r="BR19" s="96">
        <f t="shared" ref="BR19:BR28" si="16">AP19</f>
        <v>432</v>
      </c>
      <c r="BS19" s="195" t="s">
        <v>57</v>
      </c>
      <c r="BT19" s="108" t="s">
        <v>57</v>
      </c>
      <c r="BU19" s="68" t="s">
        <v>57</v>
      </c>
    </row>
    <row r="20" spans="2:73" s="3" customFormat="1" ht="15" x14ac:dyDescent="0.25">
      <c r="B20" s="201" t="s">
        <v>66</v>
      </c>
      <c r="C20" s="219" t="s">
        <v>67</v>
      </c>
      <c r="D20" s="232">
        <f>R20</f>
        <v>0</v>
      </c>
      <c r="E20" s="233">
        <f>AA20</f>
        <v>2338</v>
      </c>
      <c r="F20" s="255">
        <f>D20+E20</f>
        <v>2338</v>
      </c>
      <c r="G20" s="117"/>
      <c r="H20" s="484">
        <v>0</v>
      </c>
      <c r="I20" s="46">
        <v>0</v>
      </c>
      <c r="J20" s="80">
        <f>IF(I20="","",I20*5/100)</f>
        <v>0</v>
      </c>
      <c r="K20" s="155">
        <v>0</v>
      </c>
      <c r="L20" s="46">
        <v>0</v>
      </c>
      <c r="M20" s="80">
        <f>IF(L20="","",L20*5/100)</f>
        <v>0</v>
      </c>
      <c r="N20" s="117"/>
      <c r="O20" s="136">
        <f>$O$5*AG20+$O$5*2*AH20+$O$5*3*AI20</f>
        <v>0</v>
      </c>
      <c r="P20" s="266">
        <f t="shared" ref="P20:P28" si="17">-O20*J20</f>
        <v>0</v>
      </c>
      <c r="Q20" s="266">
        <f>O20+P20</f>
        <v>0</v>
      </c>
      <c r="R20" s="272">
        <f>ROUND(Q20,0)</f>
        <v>0</v>
      </c>
      <c r="S20" s="117"/>
      <c r="T20" s="306">
        <f t="shared" ref="T20:T28" si="18">SUM(AU20,BC20,BN20,BU20)</f>
        <v>75.209741451722351</v>
      </c>
      <c r="U20" s="307">
        <f t="shared" ref="U20:U28" si="19">(T20/($T$38/21))-1</f>
        <v>0.31361047403739395</v>
      </c>
      <c r="V20" s="308">
        <f t="shared" ref="V20:V28" si="20">T20*AC20</f>
        <v>6543.2475062998446</v>
      </c>
      <c r="W20" s="309">
        <f t="shared" ref="W20:W28" si="21">V20/$V$38</f>
        <v>4.87099888683011E-2</v>
      </c>
      <c r="X20" s="310">
        <f t="shared" ref="X20:X28" si="22">ROUND(W20*$X$41,0)</f>
        <v>2338</v>
      </c>
      <c r="Y20" s="266">
        <f t="shared" ref="Y20:Y28" si="23">-X20*M20</f>
        <v>0</v>
      </c>
      <c r="Z20" s="266">
        <f t="shared" si="5"/>
        <v>2338</v>
      </c>
      <c r="AA20" s="272">
        <f t="shared" si="6"/>
        <v>2338</v>
      </c>
      <c r="AB20" s="45"/>
      <c r="AC20" s="124">
        <f>AD20+AF20</f>
        <v>87</v>
      </c>
      <c r="AD20" s="284">
        <v>87</v>
      </c>
      <c r="AE20" s="47">
        <v>0</v>
      </c>
      <c r="AF20" s="48">
        <v>0</v>
      </c>
      <c r="AG20" s="49">
        <v>18</v>
      </c>
      <c r="AH20" s="50">
        <v>16</v>
      </c>
      <c r="AI20" s="51">
        <v>53</v>
      </c>
      <c r="AJ20" s="45"/>
      <c r="AK20" s="168">
        <v>85</v>
      </c>
      <c r="AL20" s="174">
        <v>87</v>
      </c>
      <c r="AM20" s="164">
        <f>AL20-AK20</f>
        <v>2</v>
      </c>
      <c r="AN20" s="285">
        <f>AM20/AK20</f>
        <v>2.3529411764705882E-2</v>
      </c>
      <c r="AO20" s="45"/>
      <c r="AP20" s="168">
        <v>49</v>
      </c>
      <c r="AQ20" s="174">
        <v>53</v>
      </c>
      <c r="AR20" s="164">
        <f>AQ20-AP20</f>
        <v>4</v>
      </c>
      <c r="AS20" s="187">
        <f>AR20/AP20</f>
        <v>8.1632653061224483E-2</v>
      </c>
      <c r="AT20" s="214">
        <f t="shared" ref="AT20:AT28" si="24">100*(AS20-MIN(AS$11:AS$14,AS$17:AS$17,AS$20:AS$28,AS$31:AS$36))/(MAX(AS$11:AS$14,AS$17:AS$17,AS$20:AS$28,AS$31:AS$36)-MIN(AS$11:AS$14,AS$17:AS$17,AS$20:AS$28,AS$31:AS$36))</f>
        <v>35.635792778649915</v>
      </c>
      <c r="AU20" s="279">
        <f t="shared" si="11"/>
        <v>7.1271585557299835</v>
      </c>
      <c r="AV20" s="45"/>
      <c r="AW20" s="182">
        <f>BE20-AX20</f>
        <v>5</v>
      </c>
      <c r="AX20" s="50">
        <v>0</v>
      </c>
      <c r="AY20" s="85">
        <f>BF20-AZ20</f>
        <v>4</v>
      </c>
      <c r="AZ20" s="51">
        <v>0</v>
      </c>
      <c r="BA20" s="191">
        <f>(AW20+AY20)/SUM(AW20:AZ20)</f>
        <v>1</v>
      </c>
      <c r="BB20" s="214">
        <f t="shared" ref="BB20:BB28" si="25">100*(BA20-MIN(BA$11:BA$14,BA$17:BA$17,BA$20:BA$28,BA$31:BA$36))/(MAX(BA$11:BA$14,BA$17:BA$17,BA$20:BA$28,BA$31:BA$36)-MIN(BA$11:BA$14,BA$17:BA$17,BA$20:BA$28,BA$31:BA$36))</f>
        <v>100</v>
      </c>
      <c r="BC20" s="279">
        <f t="shared" si="13"/>
        <v>25</v>
      </c>
      <c r="BD20" s="45"/>
      <c r="BE20" s="105">
        <f t="shared" ref="BE20:BE28" si="26">SUM(BF20:BI20)</f>
        <v>5</v>
      </c>
      <c r="BF20" s="99">
        <v>4</v>
      </c>
      <c r="BG20" s="93">
        <v>0</v>
      </c>
      <c r="BH20" s="93">
        <v>1</v>
      </c>
      <c r="BI20" s="91">
        <v>0</v>
      </c>
      <c r="BJ20" s="45"/>
      <c r="BK20" s="294">
        <v>11</v>
      </c>
      <c r="BL20" s="295">
        <v>4.2699999999999996</v>
      </c>
      <c r="BM20" s="206">
        <f t="shared" ref="BM20:BM28" si="27">100*(BL20-MIN(BL$11:BL$14,BL$17:BL$17,BL$20:BL$28,BL$31:BL$36))/(MAX(BL$11:BL$14,BL$17:BL$17,BL$20:BL$28,BL$31:BL$36)-MIN(BL$11:BL$14,BL$17:BL$17,BL$20:BL$28,BL$31:BL$36))</f>
        <v>83.398437499999986</v>
      </c>
      <c r="BN20" s="279">
        <f t="shared" si="14"/>
        <v>29.189453124999993</v>
      </c>
      <c r="BO20" s="45"/>
      <c r="BP20" s="168">
        <v>2</v>
      </c>
      <c r="BQ20" s="200">
        <v>637</v>
      </c>
      <c r="BR20" s="93">
        <f t="shared" si="16"/>
        <v>49</v>
      </c>
      <c r="BS20" s="196">
        <f>BQ20/BR20/100</f>
        <v>0.13</v>
      </c>
      <c r="BT20" s="206">
        <f t="shared" ref="BT20:BT28" si="28">100*(BS20-MIN(BS$11:BS$14,BS$17:BS$17,BS$20:BS$28,BS$31:BS$36))/(MAX(BS$11:BS$14,BS$17:BS$17,BS$20:BS$28,BS$31:BS$36)-MIN(BS$11:BS$14,BS$17:BS$17,BS$20:BS$28,BS$31:BS$36))</f>
        <v>69.465648854961827</v>
      </c>
      <c r="BU20" s="279">
        <f t="shared" si="15"/>
        <v>13.893129770992367</v>
      </c>
    </row>
    <row r="21" spans="2:73" s="3" customFormat="1" ht="15" x14ac:dyDescent="0.25">
      <c r="B21" s="202" t="s">
        <v>68</v>
      </c>
      <c r="C21" s="220" t="s">
        <v>69</v>
      </c>
      <c r="D21" s="238">
        <f>R21</f>
        <v>0</v>
      </c>
      <c r="E21" s="239">
        <f>AA21</f>
        <v>2882</v>
      </c>
      <c r="F21" s="256">
        <f>D21+E21</f>
        <v>2882</v>
      </c>
      <c r="G21" s="117"/>
      <c r="H21" s="490">
        <v>0</v>
      </c>
      <c r="I21" s="52">
        <v>0</v>
      </c>
      <c r="J21" s="81">
        <f t="shared" ref="J21:J28" si="29">IF(I21="","",I21*5/100)</f>
        <v>0</v>
      </c>
      <c r="K21" s="125">
        <v>0</v>
      </c>
      <c r="L21" s="52">
        <v>0</v>
      </c>
      <c r="M21" s="81">
        <f t="shared" ref="M21:M28" si="30">IF(L21="","",L21*5/100)</f>
        <v>0</v>
      </c>
      <c r="N21" s="117"/>
      <c r="O21" s="137">
        <f t="shared" ref="O21:O28" si="31">$O$5*AG21+$O$5*2*AH21+$O$5*3*AI21</f>
        <v>0</v>
      </c>
      <c r="P21" s="330">
        <f t="shared" si="17"/>
        <v>0</v>
      </c>
      <c r="Q21" s="267">
        <f t="shared" ref="Q21:Q28" si="32">O21+P21</f>
        <v>0</v>
      </c>
      <c r="R21" s="273">
        <f t="shared" ref="R21:R28" si="33">ROUND(Q21,0)</f>
        <v>0</v>
      </c>
      <c r="S21" s="117"/>
      <c r="T21" s="311">
        <f t="shared" si="18"/>
        <v>63.50095110539111</v>
      </c>
      <c r="U21" s="312">
        <f t="shared" si="19"/>
        <v>0.10910518867988905</v>
      </c>
      <c r="V21" s="313">
        <f t="shared" si="20"/>
        <v>8064.6207903846707</v>
      </c>
      <c r="W21" s="314">
        <f t="shared" si="21"/>
        <v>6.0035569271755677E-2</v>
      </c>
      <c r="X21" s="315">
        <f t="shared" si="22"/>
        <v>2882</v>
      </c>
      <c r="Y21" s="330">
        <f t="shared" si="23"/>
        <v>0</v>
      </c>
      <c r="Z21" s="267">
        <f t="shared" si="5"/>
        <v>2882</v>
      </c>
      <c r="AA21" s="273">
        <f t="shared" si="6"/>
        <v>2882</v>
      </c>
      <c r="AB21" s="45"/>
      <c r="AC21" s="125">
        <f>AD21+AF21</f>
        <v>127</v>
      </c>
      <c r="AD21" s="53">
        <v>127</v>
      </c>
      <c r="AE21" s="53">
        <v>0</v>
      </c>
      <c r="AF21" s="54">
        <v>0</v>
      </c>
      <c r="AG21" s="55">
        <v>28</v>
      </c>
      <c r="AH21" s="56">
        <v>13</v>
      </c>
      <c r="AI21" s="57">
        <v>86</v>
      </c>
      <c r="AJ21" s="45"/>
      <c r="AK21" s="169">
        <v>125</v>
      </c>
      <c r="AL21" s="175">
        <v>127</v>
      </c>
      <c r="AM21" s="165">
        <f t="shared" ref="AM21:AM28" si="34">AL21-AK21</f>
        <v>2</v>
      </c>
      <c r="AN21" s="286">
        <f t="shared" ref="AN21:AN27" si="35">AM21/AK21</f>
        <v>1.6E-2</v>
      </c>
      <c r="AO21" s="45"/>
      <c r="AP21" s="169">
        <v>88</v>
      </c>
      <c r="AQ21" s="175">
        <v>86</v>
      </c>
      <c r="AR21" s="165">
        <f t="shared" ref="AR21:AR28" si="36">AQ21-AP21</f>
        <v>-2</v>
      </c>
      <c r="AS21" s="188">
        <f t="shared" ref="AS21:AS27" si="37">AR21/AP21</f>
        <v>-2.2727272727272728E-2</v>
      </c>
      <c r="AT21" s="215">
        <f t="shared" si="24"/>
        <v>19.58041958041958</v>
      </c>
      <c r="AU21" s="280">
        <f t="shared" si="11"/>
        <v>3.9160839160839163</v>
      </c>
      <c r="AV21" s="45"/>
      <c r="AW21" s="183">
        <f t="shared" ref="AW21:AW28" si="38">BE21-AX21</f>
        <v>6</v>
      </c>
      <c r="AX21" s="56">
        <v>0</v>
      </c>
      <c r="AY21" s="86">
        <f t="shared" ref="AY21:AY28" si="39">BF21-AZ21</f>
        <v>3</v>
      </c>
      <c r="AZ21" s="157">
        <v>1</v>
      </c>
      <c r="BA21" s="191">
        <f t="shared" ref="BA21:BA36" si="40">(AW21+AY21)/SUM(AW21:AZ21)</f>
        <v>0.9</v>
      </c>
      <c r="BB21" s="215">
        <f t="shared" si="25"/>
        <v>86.666666666666671</v>
      </c>
      <c r="BC21" s="280">
        <f t="shared" si="13"/>
        <v>21.666666666666668</v>
      </c>
      <c r="BD21" s="45"/>
      <c r="BE21" s="106">
        <f t="shared" si="26"/>
        <v>6</v>
      </c>
      <c r="BF21" s="100">
        <v>4</v>
      </c>
      <c r="BG21" s="94">
        <v>2</v>
      </c>
      <c r="BH21" s="94">
        <v>0</v>
      </c>
      <c r="BI21" s="57">
        <v>0</v>
      </c>
      <c r="BJ21" s="45"/>
      <c r="BK21" s="296">
        <v>19</v>
      </c>
      <c r="BL21" s="297">
        <v>3.63</v>
      </c>
      <c r="BM21" s="207">
        <f t="shared" si="27"/>
        <v>70.8984375</v>
      </c>
      <c r="BN21" s="280">
        <f t="shared" si="14"/>
        <v>24.814453125</v>
      </c>
      <c r="BO21" s="45"/>
      <c r="BP21" s="169">
        <v>4</v>
      </c>
      <c r="BQ21" s="86">
        <v>1079</v>
      </c>
      <c r="BR21" s="94">
        <f t="shared" si="16"/>
        <v>88</v>
      </c>
      <c r="BS21" s="197">
        <f t="shared" ref="BS21:BS27" si="41">BQ21/BR21/100</f>
        <v>0.12261363636363637</v>
      </c>
      <c r="BT21" s="207">
        <f t="shared" si="28"/>
        <v>65.518736988202633</v>
      </c>
      <c r="BU21" s="280">
        <f t="shared" si="15"/>
        <v>13.103747397640527</v>
      </c>
    </row>
    <row r="22" spans="2:73" s="3" customFormat="1" ht="15" x14ac:dyDescent="0.25">
      <c r="B22" s="202" t="s">
        <v>70</v>
      </c>
      <c r="C22" s="220" t="s">
        <v>71</v>
      </c>
      <c r="D22" s="238">
        <f t="shared" ref="D22:D27" si="42">R22</f>
        <v>0</v>
      </c>
      <c r="E22" s="239">
        <f t="shared" ref="E22:E27" si="43">AA22</f>
        <v>3670</v>
      </c>
      <c r="F22" s="256">
        <f t="shared" ref="F22:F27" si="44">D22+E22</f>
        <v>3670</v>
      </c>
      <c r="G22" s="120"/>
      <c r="H22" s="485">
        <v>0</v>
      </c>
      <c r="I22" s="157">
        <v>0</v>
      </c>
      <c r="J22" s="158">
        <f t="shared" si="29"/>
        <v>0</v>
      </c>
      <c r="K22" s="156">
        <v>0</v>
      </c>
      <c r="L22" s="157">
        <v>0</v>
      </c>
      <c r="M22" s="158">
        <f t="shared" si="30"/>
        <v>0</v>
      </c>
      <c r="N22" s="120"/>
      <c r="O22" s="137">
        <f t="shared" si="31"/>
        <v>0</v>
      </c>
      <c r="P22" s="267">
        <f t="shared" si="17"/>
        <v>0</v>
      </c>
      <c r="Q22" s="267">
        <f t="shared" si="32"/>
        <v>0</v>
      </c>
      <c r="R22" s="273">
        <f t="shared" si="33"/>
        <v>0</v>
      </c>
      <c r="S22" s="120"/>
      <c r="T22" s="311">
        <f t="shared" si="18"/>
        <v>80.870042669478551</v>
      </c>
      <c r="U22" s="312">
        <f t="shared" si="19"/>
        <v>0.4124730790979898</v>
      </c>
      <c r="V22" s="313">
        <f t="shared" si="20"/>
        <v>10270.495419023777</v>
      </c>
      <c r="W22" s="314">
        <f t="shared" si="21"/>
        <v>7.6456792601979323E-2</v>
      </c>
      <c r="X22" s="315">
        <f t="shared" si="22"/>
        <v>3670</v>
      </c>
      <c r="Y22" s="267">
        <f t="shared" si="23"/>
        <v>0</v>
      </c>
      <c r="Z22" s="267">
        <f t="shared" si="5"/>
        <v>3670</v>
      </c>
      <c r="AA22" s="273">
        <f t="shared" si="6"/>
        <v>3670</v>
      </c>
      <c r="AB22" s="45"/>
      <c r="AC22" s="125">
        <f t="shared" ref="AC22:AC27" si="45">AD22+AF22</f>
        <v>127</v>
      </c>
      <c r="AD22" s="53">
        <v>127</v>
      </c>
      <c r="AE22" s="53">
        <v>0</v>
      </c>
      <c r="AF22" s="54">
        <v>0</v>
      </c>
      <c r="AG22" s="55">
        <v>32</v>
      </c>
      <c r="AH22" s="56">
        <v>16</v>
      </c>
      <c r="AI22" s="57">
        <v>79</v>
      </c>
      <c r="AJ22" s="45"/>
      <c r="AK22" s="169">
        <v>113</v>
      </c>
      <c r="AL22" s="175">
        <v>127</v>
      </c>
      <c r="AM22" s="165">
        <f t="shared" si="34"/>
        <v>14</v>
      </c>
      <c r="AN22" s="286">
        <f t="shared" si="35"/>
        <v>0.12389380530973451</v>
      </c>
      <c r="AO22" s="45"/>
      <c r="AP22" s="169">
        <v>68</v>
      </c>
      <c r="AQ22" s="175">
        <v>79</v>
      </c>
      <c r="AR22" s="165">
        <f t="shared" si="36"/>
        <v>11</v>
      </c>
      <c r="AS22" s="188">
        <f t="shared" si="37"/>
        <v>0.16176470588235295</v>
      </c>
      <c r="AT22" s="215">
        <f t="shared" si="24"/>
        <v>47.963800904977376</v>
      </c>
      <c r="AU22" s="280">
        <f t="shared" si="11"/>
        <v>9.5927601809954766</v>
      </c>
      <c r="AV22" s="45"/>
      <c r="AW22" s="183">
        <f t="shared" si="38"/>
        <v>5</v>
      </c>
      <c r="AX22" s="56">
        <v>0</v>
      </c>
      <c r="AY22" s="86">
        <f t="shared" si="39"/>
        <v>3</v>
      </c>
      <c r="AZ22" s="57">
        <v>1</v>
      </c>
      <c r="BA22" s="191">
        <f t="shared" si="40"/>
        <v>0.88888888888888884</v>
      </c>
      <c r="BB22" s="215">
        <f t="shared" si="25"/>
        <v>85.185185185185176</v>
      </c>
      <c r="BC22" s="280">
        <f t="shared" si="13"/>
        <v>21.296296296296294</v>
      </c>
      <c r="BD22" s="45"/>
      <c r="BE22" s="106">
        <f t="shared" si="26"/>
        <v>5</v>
      </c>
      <c r="BF22" s="100">
        <v>4</v>
      </c>
      <c r="BG22" s="94">
        <v>0</v>
      </c>
      <c r="BH22" s="94">
        <v>1</v>
      </c>
      <c r="BI22" s="57">
        <v>0</v>
      </c>
      <c r="BJ22" s="45"/>
      <c r="BK22" s="296">
        <v>11</v>
      </c>
      <c r="BL22" s="297">
        <v>4.6399999999999997</v>
      </c>
      <c r="BM22" s="207">
        <f t="shared" si="27"/>
        <v>90.624999999999986</v>
      </c>
      <c r="BN22" s="280">
        <f t="shared" si="14"/>
        <v>31.718749999999993</v>
      </c>
      <c r="BO22" s="45"/>
      <c r="BP22" s="169">
        <v>1</v>
      </c>
      <c r="BQ22" s="86">
        <v>1162</v>
      </c>
      <c r="BR22" s="94">
        <f t="shared" si="16"/>
        <v>68</v>
      </c>
      <c r="BS22" s="197">
        <f t="shared" si="41"/>
        <v>0.17088235294117649</v>
      </c>
      <c r="BT22" s="207">
        <f t="shared" si="28"/>
        <v>91.311180960933982</v>
      </c>
      <c r="BU22" s="280">
        <f t="shared" si="15"/>
        <v>18.262236192186798</v>
      </c>
    </row>
    <row r="23" spans="2:73" s="3" customFormat="1" ht="15" x14ac:dyDescent="0.25">
      <c r="B23" s="202" t="s">
        <v>72</v>
      </c>
      <c r="C23" s="220" t="s">
        <v>73</v>
      </c>
      <c r="D23" s="238">
        <f t="shared" si="42"/>
        <v>0</v>
      </c>
      <c r="E23" s="239">
        <f t="shared" si="43"/>
        <v>1809</v>
      </c>
      <c r="F23" s="256">
        <f t="shared" si="44"/>
        <v>1809</v>
      </c>
      <c r="G23" s="117"/>
      <c r="H23" s="490">
        <v>0</v>
      </c>
      <c r="I23" s="52">
        <v>0</v>
      </c>
      <c r="J23" s="81">
        <f t="shared" si="29"/>
        <v>0</v>
      </c>
      <c r="K23" s="125">
        <v>0</v>
      </c>
      <c r="L23" s="52">
        <v>0</v>
      </c>
      <c r="M23" s="81">
        <f t="shared" si="30"/>
        <v>0</v>
      </c>
      <c r="N23" s="117"/>
      <c r="O23" s="137">
        <f t="shared" si="31"/>
        <v>0</v>
      </c>
      <c r="P23" s="267">
        <f t="shared" si="17"/>
        <v>0</v>
      </c>
      <c r="Q23" s="267">
        <f t="shared" si="32"/>
        <v>0</v>
      </c>
      <c r="R23" s="273">
        <f t="shared" si="33"/>
        <v>0</v>
      </c>
      <c r="S23" s="117"/>
      <c r="T23" s="311">
        <f t="shared" si="18"/>
        <v>65.754633495016961</v>
      </c>
      <c r="U23" s="312">
        <f t="shared" si="19"/>
        <v>0.14846791929193981</v>
      </c>
      <c r="V23" s="313">
        <f t="shared" si="20"/>
        <v>5063.1067791163059</v>
      </c>
      <c r="W23" s="314">
        <f t="shared" si="21"/>
        <v>3.7691356564507977E-2</v>
      </c>
      <c r="X23" s="315">
        <f t="shared" si="22"/>
        <v>1809</v>
      </c>
      <c r="Y23" s="267">
        <f t="shared" si="23"/>
        <v>0</v>
      </c>
      <c r="Z23" s="267">
        <f t="shared" si="5"/>
        <v>1809</v>
      </c>
      <c r="AA23" s="273">
        <f t="shared" si="6"/>
        <v>1809</v>
      </c>
      <c r="AB23" s="45"/>
      <c r="AC23" s="125">
        <f t="shared" si="45"/>
        <v>77</v>
      </c>
      <c r="AD23" s="53">
        <v>77</v>
      </c>
      <c r="AE23" s="53">
        <v>0</v>
      </c>
      <c r="AF23" s="54">
        <v>0</v>
      </c>
      <c r="AG23" s="55">
        <v>31</v>
      </c>
      <c r="AH23" s="56">
        <v>12</v>
      </c>
      <c r="AI23" s="57">
        <v>34</v>
      </c>
      <c r="AJ23" s="45"/>
      <c r="AK23" s="169">
        <v>79</v>
      </c>
      <c r="AL23" s="175">
        <v>77</v>
      </c>
      <c r="AM23" s="165">
        <f t="shared" si="34"/>
        <v>-2</v>
      </c>
      <c r="AN23" s="286">
        <f t="shared" si="35"/>
        <v>-2.5316455696202531E-2</v>
      </c>
      <c r="AO23" s="45"/>
      <c r="AP23" s="169">
        <v>40</v>
      </c>
      <c r="AQ23" s="175">
        <v>34</v>
      </c>
      <c r="AR23" s="165">
        <f t="shared" si="36"/>
        <v>-6</v>
      </c>
      <c r="AS23" s="188">
        <f t="shared" si="37"/>
        <v>-0.15</v>
      </c>
      <c r="AT23" s="215">
        <f t="shared" si="24"/>
        <v>0</v>
      </c>
      <c r="AU23" s="280">
        <f t="shared" si="11"/>
        <v>0</v>
      </c>
      <c r="AV23" s="45"/>
      <c r="AW23" s="183">
        <f t="shared" si="38"/>
        <v>4</v>
      </c>
      <c r="AX23" s="90">
        <v>0</v>
      </c>
      <c r="AY23" s="86">
        <f t="shared" si="39"/>
        <v>1</v>
      </c>
      <c r="AZ23" s="157">
        <v>1</v>
      </c>
      <c r="BA23" s="191">
        <f t="shared" si="40"/>
        <v>0.83333333333333337</v>
      </c>
      <c r="BB23" s="215">
        <f t="shared" si="25"/>
        <v>77.777777777777786</v>
      </c>
      <c r="BC23" s="280">
        <f t="shared" si="13"/>
        <v>19.444444444444446</v>
      </c>
      <c r="BD23" s="45"/>
      <c r="BE23" s="106">
        <f t="shared" si="26"/>
        <v>4</v>
      </c>
      <c r="BF23" s="100">
        <v>2</v>
      </c>
      <c r="BG23" s="94">
        <v>1</v>
      </c>
      <c r="BH23" s="94">
        <v>1</v>
      </c>
      <c r="BI23" s="57">
        <v>0</v>
      </c>
      <c r="BJ23" s="45"/>
      <c r="BK23" s="296">
        <v>11</v>
      </c>
      <c r="BL23" s="297">
        <v>5.09</v>
      </c>
      <c r="BM23" s="207">
        <f t="shared" si="27"/>
        <v>99.4140625</v>
      </c>
      <c r="BN23" s="280">
        <f t="shared" si="14"/>
        <v>34.794921875</v>
      </c>
      <c r="BO23" s="45"/>
      <c r="BP23" s="169">
        <v>2</v>
      </c>
      <c r="BQ23" s="86">
        <v>431</v>
      </c>
      <c r="BR23" s="94">
        <f t="shared" si="16"/>
        <v>40</v>
      </c>
      <c r="BS23" s="197">
        <f t="shared" si="41"/>
        <v>0.10775</v>
      </c>
      <c r="BT23" s="207">
        <f t="shared" si="28"/>
        <v>57.57633587786259</v>
      </c>
      <c r="BU23" s="280">
        <f t="shared" si="15"/>
        <v>11.515267175572518</v>
      </c>
    </row>
    <row r="24" spans="2:73" s="3" customFormat="1" ht="15" x14ac:dyDescent="0.25">
      <c r="B24" s="202" t="s">
        <v>74</v>
      </c>
      <c r="C24" s="220" t="s">
        <v>75</v>
      </c>
      <c r="D24" s="238">
        <f t="shared" si="42"/>
        <v>0</v>
      </c>
      <c r="E24" s="239">
        <f t="shared" si="43"/>
        <v>2760</v>
      </c>
      <c r="F24" s="256">
        <f t="shared" si="44"/>
        <v>2760</v>
      </c>
      <c r="G24" s="117"/>
      <c r="H24" s="490">
        <v>0</v>
      </c>
      <c r="I24" s="52">
        <v>0</v>
      </c>
      <c r="J24" s="158">
        <f t="shared" si="29"/>
        <v>0</v>
      </c>
      <c r="K24" s="156">
        <v>0</v>
      </c>
      <c r="L24" s="157">
        <v>0</v>
      </c>
      <c r="M24" s="158">
        <f t="shared" si="30"/>
        <v>0</v>
      </c>
      <c r="N24" s="117"/>
      <c r="O24" s="137">
        <f t="shared" si="31"/>
        <v>0</v>
      </c>
      <c r="P24" s="267">
        <f t="shared" si="17"/>
        <v>0</v>
      </c>
      <c r="Q24" s="267">
        <f t="shared" si="32"/>
        <v>0</v>
      </c>
      <c r="R24" s="273">
        <f t="shared" si="33"/>
        <v>0</v>
      </c>
      <c r="S24" s="117"/>
      <c r="T24" s="311">
        <f t="shared" si="18"/>
        <v>71.509602271571595</v>
      </c>
      <c r="U24" s="312">
        <f t="shared" si="19"/>
        <v>0.24898398432180047</v>
      </c>
      <c r="V24" s="313">
        <f t="shared" si="20"/>
        <v>7723.0370453297319</v>
      </c>
      <c r="W24" s="314">
        <f t="shared" si="21"/>
        <v>5.7492712624013238E-2</v>
      </c>
      <c r="X24" s="315">
        <f t="shared" si="22"/>
        <v>2760</v>
      </c>
      <c r="Y24" s="267">
        <f t="shared" si="23"/>
        <v>0</v>
      </c>
      <c r="Z24" s="267">
        <f t="shared" si="5"/>
        <v>2760</v>
      </c>
      <c r="AA24" s="273">
        <f t="shared" si="6"/>
        <v>2760</v>
      </c>
      <c r="AB24" s="45"/>
      <c r="AC24" s="125">
        <f t="shared" si="45"/>
        <v>108</v>
      </c>
      <c r="AD24" s="53">
        <v>108</v>
      </c>
      <c r="AE24" s="53">
        <v>0</v>
      </c>
      <c r="AF24" s="54">
        <v>0</v>
      </c>
      <c r="AG24" s="55">
        <v>15</v>
      </c>
      <c r="AH24" s="56">
        <v>18</v>
      </c>
      <c r="AI24" s="57">
        <v>75</v>
      </c>
      <c r="AJ24" s="45"/>
      <c r="AK24" s="169">
        <v>121</v>
      </c>
      <c r="AL24" s="175">
        <v>108</v>
      </c>
      <c r="AM24" s="165">
        <f t="shared" si="34"/>
        <v>-13</v>
      </c>
      <c r="AN24" s="286">
        <f t="shared" si="35"/>
        <v>-0.10743801652892562</v>
      </c>
      <c r="AO24" s="45"/>
      <c r="AP24" s="169">
        <v>83</v>
      </c>
      <c r="AQ24" s="175">
        <v>75</v>
      </c>
      <c r="AR24" s="165">
        <f t="shared" si="36"/>
        <v>-8</v>
      </c>
      <c r="AS24" s="188">
        <f t="shared" si="37"/>
        <v>-9.6385542168674704E-2</v>
      </c>
      <c r="AT24" s="215">
        <f t="shared" si="24"/>
        <v>8.2483781278961992</v>
      </c>
      <c r="AU24" s="280">
        <f t="shared" si="11"/>
        <v>1.64967562557924</v>
      </c>
      <c r="AV24" s="45"/>
      <c r="AW24" s="183">
        <f t="shared" si="38"/>
        <v>3</v>
      </c>
      <c r="AX24" s="56">
        <v>0</v>
      </c>
      <c r="AY24" s="86">
        <f t="shared" si="39"/>
        <v>3</v>
      </c>
      <c r="AZ24" s="57">
        <v>0</v>
      </c>
      <c r="BA24" s="191">
        <f t="shared" si="40"/>
        <v>1</v>
      </c>
      <c r="BB24" s="215">
        <f t="shared" si="25"/>
        <v>100</v>
      </c>
      <c r="BC24" s="280">
        <f t="shared" si="13"/>
        <v>25</v>
      </c>
      <c r="BD24" s="45"/>
      <c r="BE24" s="106">
        <f t="shared" si="26"/>
        <v>3</v>
      </c>
      <c r="BF24" s="100">
        <v>3</v>
      </c>
      <c r="BG24" s="94">
        <v>0</v>
      </c>
      <c r="BH24" s="94">
        <v>0</v>
      </c>
      <c r="BI24" s="57">
        <v>0</v>
      </c>
      <c r="BJ24" s="45"/>
      <c r="BK24" s="296">
        <v>19</v>
      </c>
      <c r="BL24" s="297">
        <v>4.53</v>
      </c>
      <c r="BM24" s="207">
        <f t="shared" si="27"/>
        <v>88.4765625</v>
      </c>
      <c r="BN24" s="280">
        <f t="shared" si="14"/>
        <v>30.966796874999996</v>
      </c>
      <c r="BO24" s="45"/>
      <c r="BP24" s="169">
        <v>2</v>
      </c>
      <c r="BQ24" s="86">
        <v>1079</v>
      </c>
      <c r="BR24" s="94">
        <f t="shared" si="16"/>
        <v>83</v>
      </c>
      <c r="BS24" s="197">
        <f t="shared" si="41"/>
        <v>0.13</v>
      </c>
      <c r="BT24" s="207">
        <f t="shared" si="28"/>
        <v>69.465648854961827</v>
      </c>
      <c r="BU24" s="280">
        <f t="shared" si="15"/>
        <v>13.893129770992367</v>
      </c>
    </row>
    <row r="25" spans="2:73" s="3" customFormat="1" ht="15" x14ac:dyDescent="0.25">
      <c r="B25" s="202" t="s">
        <v>76</v>
      </c>
      <c r="C25" s="220" t="s">
        <v>77</v>
      </c>
      <c r="D25" s="238">
        <f t="shared" si="42"/>
        <v>0</v>
      </c>
      <c r="E25" s="239">
        <f t="shared" si="43"/>
        <v>1356</v>
      </c>
      <c r="F25" s="256">
        <f t="shared" si="44"/>
        <v>1356</v>
      </c>
      <c r="G25" s="117"/>
      <c r="H25" s="490">
        <v>0</v>
      </c>
      <c r="I25" s="52">
        <v>0</v>
      </c>
      <c r="J25" s="81">
        <f t="shared" si="29"/>
        <v>0</v>
      </c>
      <c r="K25" s="125">
        <v>0</v>
      </c>
      <c r="L25" s="52">
        <v>0</v>
      </c>
      <c r="M25" s="81">
        <f t="shared" si="30"/>
        <v>0</v>
      </c>
      <c r="N25" s="117"/>
      <c r="O25" s="137">
        <f t="shared" si="31"/>
        <v>0</v>
      </c>
      <c r="P25" s="267">
        <f t="shared" si="17"/>
        <v>0</v>
      </c>
      <c r="Q25" s="267">
        <f t="shared" si="32"/>
        <v>0</v>
      </c>
      <c r="R25" s="273">
        <f t="shared" si="33"/>
        <v>0</v>
      </c>
      <c r="S25" s="117"/>
      <c r="T25" s="311">
        <f t="shared" si="18"/>
        <v>58.364401791293211</v>
      </c>
      <c r="U25" s="312">
        <f t="shared" si="19"/>
        <v>1.9390414381139198E-2</v>
      </c>
      <c r="V25" s="313">
        <f t="shared" si="20"/>
        <v>3793.6861164340589</v>
      </c>
      <c r="W25" s="314">
        <f t="shared" si="21"/>
        <v>2.8241390582186453E-2</v>
      </c>
      <c r="X25" s="315">
        <f t="shared" si="22"/>
        <v>1356</v>
      </c>
      <c r="Y25" s="267">
        <f t="shared" si="23"/>
        <v>0</v>
      </c>
      <c r="Z25" s="267">
        <f t="shared" si="5"/>
        <v>1356</v>
      </c>
      <c r="AA25" s="273">
        <f t="shared" si="6"/>
        <v>1356</v>
      </c>
      <c r="AB25" s="45"/>
      <c r="AC25" s="125">
        <f t="shared" si="45"/>
        <v>65</v>
      </c>
      <c r="AD25" s="53">
        <v>65</v>
      </c>
      <c r="AE25" s="53">
        <v>0</v>
      </c>
      <c r="AF25" s="54">
        <v>0</v>
      </c>
      <c r="AG25" s="55">
        <v>10</v>
      </c>
      <c r="AH25" s="56">
        <v>9</v>
      </c>
      <c r="AI25" s="57">
        <v>46</v>
      </c>
      <c r="AJ25" s="45"/>
      <c r="AK25" s="169">
        <v>70</v>
      </c>
      <c r="AL25" s="175">
        <v>65</v>
      </c>
      <c r="AM25" s="165">
        <f t="shared" si="34"/>
        <v>-5</v>
      </c>
      <c r="AN25" s="286">
        <f t="shared" si="35"/>
        <v>-7.1428571428571425E-2</v>
      </c>
      <c r="AO25" s="45"/>
      <c r="AP25" s="169">
        <v>52</v>
      </c>
      <c r="AQ25" s="175">
        <v>46</v>
      </c>
      <c r="AR25" s="165">
        <f t="shared" si="36"/>
        <v>-6</v>
      </c>
      <c r="AS25" s="188">
        <f t="shared" si="37"/>
        <v>-0.11538461538461539</v>
      </c>
      <c r="AT25" s="215">
        <f t="shared" si="24"/>
        <v>5.3254437869822464</v>
      </c>
      <c r="AU25" s="280">
        <f t="shared" si="11"/>
        <v>1.0650887573964494</v>
      </c>
      <c r="AV25" s="45"/>
      <c r="AW25" s="183">
        <f t="shared" si="38"/>
        <v>4</v>
      </c>
      <c r="AX25" s="56">
        <v>0</v>
      </c>
      <c r="AY25" s="86">
        <f t="shared" si="39"/>
        <v>2</v>
      </c>
      <c r="AZ25" s="57">
        <v>1</v>
      </c>
      <c r="BA25" s="191">
        <f t="shared" si="40"/>
        <v>0.8571428571428571</v>
      </c>
      <c r="BB25" s="215">
        <f t="shared" si="25"/>
        <v>80.952380952380949</v>
      </c>
      <c r="BC25" s="280">
        <f t="shared" si="13"/>
        <v>20.238095238095237</v>
      </c>
      <c r="BD25" s="45"/>
      <c r="BE25" s="106">
        <f t="shared" si="26"/>
        <v>4</v>
      </c>
      <c r="BF25" s="100">
        <v>3</v>
      </c>
      <c r="BG25" s="94">
        <v>1</v>
      </c>
      <c r="BH25" s="94">
        <v>0</v>
      </c>
      <c r="BI25" s="57">
        <v>0</v>
      </c>
      <c r="BJ25" s="45"/>
      <c r="BK25" s="296">
        <v>9</v>
      </c>
      <c r="BL25" s="297">
        <v>3.78</v>
      </c>
      <c r="BM25" s="207">
        <f t="shared" si="27"/>
        <v>73.828125</v>
      </c>
      <c r="BN25" s="280">
        <f t="shared" si="14"/>
        <v>25.83984375</v>
      </c>
      <c r="BO25" s="45"/>
      <c r="BP25" s="169">
        <v>1</v>
      </c>
      <c r="BQ25" s="86">
        <v>546</v>
      </c>
      <c r="BR25" s="94">
        <f t="shared" si="16"/>
        <v>52</v>
      </c>
      <c r="BS25" s="197">
        <f t="shared" si="41"/>
        <v>0.105</v>
      </c>
      <c r="BT25" s="207">
        <f t="shared" si="28"/>
        <v>56.106870229007626</v>
      </c>
      <c r="BU25" s="280">
        <f t="shared" si="15"/>
        <v>11.221374045801525</v>
      </c>
    </row>
    <row r="26" spans="2:73" s="3" customFormat="1" ht="15" x14ac:dyDescent="0.25">
      <c r="B26" s="202" t="s">
        <v>78</v>
      </c>
      <c r="C26" s="220" t="s">
        <v>79</v>
      </c>
      <c r="D26" s="238">
        <f t="shared" si="42"/>
        <v>0</v>
      </c>
      <c r="E26" s="239">
        <f t="shared" si="43"/>
        <v>680</v>
      </c>
      <c r="F26" s="256">
        <f t="shared" si="44"/>
        <v>680</v>
      </c>
      <c r="G26" s="120"/>
      <c r="H26" s="485">
        <v>0</v>
      </c>
      <c r="I26" s="157">
        <v>0</v>
      </c>
      <c r="J26" s="158">
        <f t="shared" si="29"/>
        <v>0</v>
      </c>
      <c r="K26" s="156">
        <v>0</v>
      </c>
      <c r="L26" s="157">
        <v>0</v>
      </c>
      <c r="M26" s="158">
        <f t="shared" si="30"/>
        <v>0</v>
      </c>
      <c r="N26" s="120"/>
      <c r="O26" s="137">
        <f t="shared" si="31"/>
        <v>0</v>
      </c>
      <c r="P26" s="267">
        <f t="shared" si="17"/>
        <v>0</v>
      </c>
      <c r="Q26" s="267">
        <f t="shared" si="32"/>
        <v>0</v>
      </c>
      <c r="R26" s="273">
        <f t="shared" si="33"/>
        <v>0</v>
      </c>
      <c r="S26" s="120"/>
      <c r="T26" s="311">
        <f t="shared" si="18"/>
        <v>50.086146831659121</v>
      </c>
      <c r="U26" s="312">
        <f t="shared" si="19"/>
        <v>-0.12519727082859777</v>
      </c>
      <c r="V26" s="313">
        <f t="shared" si="20"/>
        <v>1903.2735796030465</v>
      </c>
      <c r="W26" s="314">
        <f t="shared" si="21"/>
        <v>1.4168566111328697E-2</v>
      </c>
      <c r="X26" s="315">
        <f t="shared" si="22"/>
        <v>680</v>
      </c>
      <c r="Y26" s="267">
        <f t="shared" si="23"/>
        <v>0</v>
      </c>
      <c r="Z26" s="267">
        <f t="shared" si="5"/>
        <v>680</v>
      </c>
      <c r="AA26" s="273">
        <f t="shared" si="6"/>
        <v>680</v>
      </c>
      <c r="AB26" s="45"/>
      <c r="AC26" s="125">
        <f t="shared" si="45"/>
        <v>38</v>
      </c>
      <c r="AD26" s="53">
        <v>38</v>
      </c>
      <c r="AE26" s="53">
        <v>0</v>
      </c>
      <c r="AF26" s="54">
        <v>0</v>
      </c>
      <c r="AG26" s="55">
        <v>8</v>
      </c>
      <c r="AH26" s="56">
        <v>4</v>
      </c>
      <c r="AI26" s="57">
        <v>26</v>
      </c>
      <c r="AJ26" s="45"/>
      <c r="AK26" s="169">
        <v>35</v>
      </c>
      <c r="AL26" s="175">
        <v>38</v>
      </c>
      <c r="AM26" s="165">
        <f t="shared" si="34"/>
        <v>3</v>
      </c>
      <c r="AN26" s="286">
        <f t="shared" si="35"/>
        <v>8.5714285714285715E-2</v>
      </c>
      <c r="AO26" s="45"/>
      <c r="AP26" s="169">
        <v>21</v>
      </c>
      <c r="AQ26" s="175">
        <v>26</v>
      </c>
      <c r="AR26" s="165">
        <f t="shared" si="36"/>
        <v>5</v>
      </c>
      <c r="AS26" s="188">
        <f t="shared" si="37"/>
        <v>0.23809523809523808</v>
      </c>
      <c r="AT26" s="215">
        <f t="shared" si="24"/>
        <v>59.706959706959694</v>
      </c>
      <c r="AU26" s="280">
        <f t="shared" si="11"/>
        <v>11.94139194139194</v>
      </c>
      <c r="AV26" s="45"/>
      <c r="AW26" s="183">
        <f t="shared" si="38"/>
        <v>1</v>
      </c>
      <c r="AX26" s="56">
        <v>1</v>
      </c>
      <c r="AY26" s="86">
        <f t="shared" si="39"/>
        <v>0</v>
      </c>
      <c r="AZ26" s="57">
        <v>2</v>
      </c>
      <c r="BA26" s="191">
        <f t="shared" si="40"/>
        <v>0.25</v>
      </c>
      <c r="BB26" s="215">
        <f t="shared" si="25"/>
        <v>0</v>
      </c>
      <c r="BC26" s="280">
        <f t="shared" si="13"/>
        <v>0</v>
      </c>
      <c r="BD26" s="45"/>
      <c r="BE26" s="106">
        <f t="shared" si="26"/>
        <v>2</v>
      </c>
      <c r="BF26" s="100">
        <v>2</v>
      </c>
      <c r="BG26" s="94">
        <v>0</v>
      </c>
      <c r="BH26" s="94">
        <v>0</v>
      </c>
      <c r="BI26" s="57">
        <v>0</v>
      </c>
      <c r="BJ26" s="45"/>
      <c r="BK26" s="296">
        <v>7</v>
      </c>
      <c r="BL26" s="297">
        <v>3.57</v>
      </c>
      <c r="BM26" s="207">
        <f t="shared" si="27"/>
        <v>69.7265625</v>
      </c>
      <c r="BN26" s="280">
        <f t="shared" si="14"/>
        <v>24.404296875</v>
      </c>
      <c r="BO26" s="45"/>
      <c r="BP26" s="169">
        <v>1</v>
      </c>
      <c r="BQ26" s="86">
        <v>270</v>
      </c>
      <c r="BR26" s="94">
        <f t="shared" si="16"/>
        <v>21</v>
      </c>
      <c r="BS26" s="197">
        <f t="shared" si="41"/>
        <v>0.12857142857142859</v>
      </c>
      <c r="BT26" s="207">
        <f t="shared" si="28"/>
        <v>68.702290076335885</v>
      </c>
      <c r="BU26" s="280">
        <f t="shared" si="15"/>
        <v>13.740458015267178</v>
      </c>
    </row>
    <row r="27" spans="2:73" s="3" customFormat="1" ht="15" x14ac:dyDescent="0.25">
      <c r="B27" s="202" t="s">
        <v>80</v>
      </c>
      <c r="C27" s="220" t="s">
        <v>81</v>
      </c>
      <c r="D27" s="238">
        <f t="shared" si="42"/>
        <v>0</v>
      </c>
      <c r="E27" s="239">
        <f t="shared" si="43"/>
        <v>1671</v>
      </c>
      <c r="F27" s="256">
        <f t="shared" si="44"/>
        <v>1671</v>
      </c>
      <c r="G27" s="117"/>
      <c r="H27" s="490">
        <v>0</v>
      </c>
      <c r="I27" s="52">
        <v>0</v>
      </c>
      <c r="J27" s="158">
        <f t="shared" si="29"/>
        <v>0</v>
      </c>
      <c r="K27" s="156">
        <v>0</v>
      </c>
      <c r="L27" s="157">
        <v>0</v>
      </c>
      <c r="M27" s="158">
        <f t="shared" si="30"/>
        <v>0</v>
      </c>
      <c r="N27" s="117"/>
      <c r="O27" s="137">
        <f t="shared" si="31"/>
        <v>0</v>
      </c>
      <c r="P27" s="267">
        <f t="shared" si="17"/>
        <v>0</v>
      </c>
      <c r="Q27" s="267">
        <f t="shared" si="32"/>
        <v>0</v>
      </c>
      <c r="R27" s="273">
        <f t="shared" si="33"/>
        <v>0</v>
      </c>
      <c r="S27" s="117"/>
      <c r="T27" s="311">
        <f t="shared" si="18"/>
        <v>76.674718579522846</v>
      </c>
      <c r="U27" s="312">
        <f t="shared" si="19"/>
        <v>0.33919770864501775</v>
      </c>
      <c r="V27" s="313">
        <f t="shared" si="20"/>
        <v>4677.1578333508933</v>
      </c>
      <c r="W27" s="314">
        <f t="shared" si="21"/>
        <v>3.4818231433009349E-2</v>
      </c>
      <c r="X27" s="315">
        <f t="shared" si="22"/>
        <v>1671</v>
      </c>
      <c r="Y27" s="267">
        <f t="shared" si="23"/>
        <v>0</v>
      </c>
      <c r="Z27" s="267">
        <f t="shared" si="5"/>
        <v>1671</v>
      </c>
      <c r="AA27" s="273">
        <f t="shared" si="6"/>
        <v>1671</v>
      </c>
      <c r="AB27" s="45"/>
      <c r="AC27" s="125">
        <f t="shared" si="45"/>
        <v>61</v>
      </c>
      <c r="AD27" s="53">
        <v>61</v>
      </c>
      <c r="AE27" s="53">
        <v>0</v>
      </c>
      <c r="AF27" s="54">
        <v>0</v>
      </c>
      <c r="AG27" s="55">
        <v>15</v>
      </c>
      <c r="AH27" s="56">
        <v>9</v>
      </c>
      <c r="AI27" s="57">
        <v>37</v>
      </c>
      <c r="AJ27" s="45"/>
      <c r="AK27" s="169">
        <v>54</v>
      </c>
      <c r="AL27" s="175">
        <v>61</v>
      </c>
      <c r="AM27" s="165">
        <f t="shared" si="34"/>
        <v>7</v>
      </c>
      <c r="AN27" s="286">
        <f t="shared" si="35"/>
        <v>0.12962962962962962</v>
      </c>
      <c r="AO27" s="45"/>
      <c r="AP27" s="169">
        <v>31</v>
      </c>
      <c r="AQ27" s="175">
        <v>37</v>
      </c>
      <c r="AR27" s="165">
        <f t="shared" si="36"/>
        <v>6</v>
      </c>
      <c r="AS27" s="188">
        <f t="shared" si="37"/>
        <v>0.19354838709677419</v>
      </c>
      <c r="AT27" s="215">
        <f t="shared" si="24"/>
        <v>52.853598014888334</v>
      </c>
      <c r="AU27" s="280">
        <f t="shared" si="11"/>
        <v>10.570719602977668</v>
      </c>
      <c r="AV27" s="45"/>
      <c r="AW27" s="183">
        <f t="shared" si="38"/>
        <v>3</v>
      </c>
      <c r="AX27" s="56">
        <v>0</v>
      </c>
      <c r="AY27" s="86">
        <f t="shared" si="39"/>
        <v>2</v>
      </c>
      <c r="AZ27" s="57">
        <v>0</v>
      </c>
      <c r="BA27" s="191">
        <f t="shared" si="40"/>
        <v>1</v>
      </c>
      <c r="BB27" s="215">
        <f t="shared" si="25"/>
        <v>100</v>
      </c>
      <c r="BC27" s="280">
        <f t="shared" si="13"/>
        <v>25</v>
      </c>
      <c r="BD27" s="45"/>
      <c r="BE27" s="106">
        <f t="shared" si="26"/>
        <v>3</v>
      </c>
      <c r="BF27" s="100">
        <v>2</v>
      </c>
      <c r="BG27" s="94">
        <v>0</v>
      </c>
      <c r="BH27" s="94">
        <v>1</v>
      </c>
      <c r="BI27" s="57">
        <v>0</v>
      </c>
      <c r="BJ27" s="45"/>
      <c r="BK27" s="296">
        <v>6</v>
      </c>
      <c r="BL27" s="297">
        <v>4.5</v>
      </c>
      <c r="BM27" s="207">
        <f t="shared" si="27"/>
        <v>87.890625</v>
      </c>
      <c r="BN27" s="280">
        <f t="shared" si="14"/>
        <v>30.761718749999996</v>
      </c>
      <c r="BO27" s="45"/>
      <c r="BP27" s="169">
        <v>1</v>
      </c>
      <c r="BQ27" s="86">
        <v>300</v>
      </c>
      <c r="BR27" s="94">
        <f t="shared" si="16"/>
        <v>31</v>
      </c>
      <c r="BS27" s="197">
        <f t="shared" si="41"/>
        <v>9.6774193548387094E-2</v>
      </c>
      <c r="BT27" s="207">
        <f t="shared" si="28"/>
        <v>51.711401132725925</v>
      </c>
      <c r="BU27" s="280">
        <f t="shared" si="15"/>
        <v>10.342280226545185</v>
      </c>
    </row>
    <row r="28" spans="2:73" s="3" customFormat="1" ht="15.75" thickBot="1" x14ac:dyDescent="0.3">
      <c r="B28" s="203" t="s">
        <v>82</v>
      </c>
      <c r="C28" s="221" t="s">
        <v>83</v>
      </c>
      <c r="D28" s="240">
        <f>R28</f>
        <v>0</v>
      </c>
      <c r="E28" s="241">
        <f>AA28</f>
        <v>100</v>
      </c>
      <c r="F28" s="257">
        <f>D28+E28</f>
        <v>100</v>
      </c>
      <c r="G28" s="117"/>
      <c r="H28" s="488">
        <v>0</v>
      </c>
      <c r="I28" s="58">
        <v>0</v>
      </c>
      <c r="J28" s="82">
        <f t="shared" si="29"/>
        <v>0</v>
      </c>
      <c r="K28" s="126">
        <v>0</v>
      </c>
      <c r="L28" s="58">
        <v>0</v>
      </c>
      <c r="M28" s="82">
        <f t="shared" si="30"/>
        <v>0</v>
      </c>
      <c r="N28" s="117"/>
      <c r="O28" s="138">
        <f t="shared" si="31"/>
        <v>0</v>
      </c>
      <c r="P28" s="268">
        <f t="shared" si="17"/>
        <v>0</v>
      </c>
      <c r="Q28" s="268">
        <f t="shared" si="32"/>
        <v>0</v>
      </c>
      <c r="R28" s="274">
        <f t="shared" si="33"/>
        <v>0</v>
      </c>
      <c r="S28" s="117"/>
      <c r="T28" s="316">
        <f t="shared" si="18"/>
        <v>7.3931623931623935</v>
      </c>
      <c r="U28" s="317">
        <f t="shared" si="19"/>
        <v>-0.87087130777930521</v>
      </c>
      <c r="V28" s="318">
        <f t="shared" si="20"/>
        <v>280.94017094017096</v>
      </c>
      <c r="W28" s="319">
        <f t="shared" si="21"/>
        <v>2.091406841324403E-3</v>
      </c>
      <c r="X28" s="320">
        <f t="shared" si="22"/>
        <v>100</v>
      </c>
      <c r="Y28" s="268">
        <f t="shared" si="23"/>
        <v>0</v>
      </c>
      <c r="Z28" s="268">
        <f t="shared" si="5"/>
        <v>100</v>
      </c>
      <c r="AA28" s="274">
        <f t="shared" si="6"/>
        <v>100</v>
      </c>
      <c r="AB28" s="45"/>
      <c r="AC28" s="126">
        <f>AD28+AF28</f>
        <v>38</v>
      </c>
      <c r="AD28" s="59">
        <v>33</v>
      </c>
      <c r="AE28" s="59">
        <v>1</v>
      </c>
      <c r="AF28" s="60">
        <v>5</v>
      </c>
      <c r="AG28" s="61">
        <v>37</v>
      </c>
      <c r="AH28" s="62">
        <v>1</v>
      </c>
      <c r="AI28" s="63">
        <v>0</v>
      </c>
      <c r="AJ28" s="45"/>
      <c r="AK28" s="170">
        <v>42</v>
      </c>
      <c r="AL28" s="176">
        <v>38</v>
      </c>
      <c r="AM28" s="166">
        <f t="shared" si="34"/>
        <v>-4</v>
      </c>
      <c r="AN28" s="287">
        <f>AM28/AK28</f>
        <v>-9.5238095238095233E-2</v>
      </c>
      <c r="AO28" s="45"/>
      <c r="AP28" s="170">
        <v>0</v>
      </c>
      <c r="AQ28" s="176">
        <v>0</v>
      </c>
      <c r="AR28" s="166">
        <f t="shared" si="36"/>
        <v>0</v>
      </c>
      <c r="AS28" s="189">
        <v>0</v>
      </c>
      <c r="AT28" s="216">
        <f t="shared" si="24"/>
        <v>23.076923076923077</v>
      </c>
      <c r="AU28" s="281">
        <f t="shared" si="11"/>
        <v>4.6153846153846159</v>
      </c>
      <c r="AV28" s="45"/>
      <c r="AW28" s="184">
        <f t="shared" si="38"/>
        <v>1</v>
      </c>
      <c r="AX28" s="62">
        <v>2</v>
      </c>
      <c r="AY28" s="87">
        <f t="shared" si="39"/>
        <v>0</v>
      </c>
      <c r="AZ28" s="63">
        <v>0</v>
      </c>
      <c r="BA28" s="192">
        <f t="shared" si="40"/>
        <v>0.33333333333333331</v>
      </c>
      <c r="BB28" s="216">
        <f t="shared" si="25"/>
        <v>11.111111111111109</v>
      </c>
      <c r="BC28" s="281">
        <f t="shared" si="13"/>
        <v>2.7777777777777772</v>
      </c>
      <c r="BD28" s="45"/>
      <c r="BE28" s="107">
        <f t="shared" si="26"/>
        <v>3</v>
      </c>
      <c r="BF28" s="101">
        <v>0</v>
      </c>
      <c r="BG28" s="95">
        <v>0</v>
      </c>
      <c r="BH28" s="95">
        <v>3</v>
      </c>
      <c r="BI28" s="63">
        <v>0</v>
      </c>
      <c r="BJ28" s="45"/>
      <c r="BK28" s="298">
        <v>0</v>
      </c>
      <c r="BL28" s="299">
        <v>0</v>
      </c>
      <c r="BM28" s="208">
        <f t="shared" si="27"/>
        <v>0</v>
      </c>
      <c r="BN28" s="281">
        <f t="shared" si="14"/>
        <v>0</v>
      </c>
      <c r="BO28" s="45"/>
      <c r="BP28" s="170">
        <v>0</v>
      </c>
      <c r="BQ28" s="87">
        <v>0</v>
      </c>
      <c r="BR28" s="95">
        <f t="shared" si="16"/>
        <v>0</v>
      </c>
      <c r="BS28" s="198">
        <v>0</v>
      </c>
      <c r="BT28" s="208">
        <f t="shared" si="28"/>
        <v>0</v>
      </c>
      <c r="BU28" s="281">
        <f t="shared" si="15"/>
        <v>0</v>
      </c>
    </row>
    <row r="29" spans="2:73" s="3" customFormat="1" ht="7.5" customHeight="1" thickBot="1" x14ac:dyDescent="0.3">
      <c r="B29" s="204"/>
      <c r="C29" s="7"/>
      <c r="D29" s="34"/>
      <c r="E29" s="34"/>
      <c r="F29" s="3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6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6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291"/>
      <c r="BL29" s="289"/>
      <c r="BM29" s="45"/>
      <c r="BN29" s="45"/>
      <c r="BO29" s="45"/>
      <c r="BP29" s="45"/>
      <c r="BQ29" s="45"/>
      <c r="BR29" s="45"/>
      <c r="BS29" s="45"/>
      <c r="BT29" s="45"/>
      <c r="BU29" s="45"/>
    </row>
    <row r="30" spans="2:73" s="376" customFormat="1" ht="15" x14ac:dyDescent="0.25">
      <c r="B30" s="377" t="s">
        <v>57</v>
      </c>
      <c r="C30" s="378" t="s">
        <v>111</v>
      </c>
      <c r="D30" s="438" t="s">
        <v>57</v>
      </c>
      <c r="E30" s="439" t="s">
        <v>57</v>
      </c>
      <c r="F30" s="440" t="s">
        <v>57</v>
      </c>
      <c r="G30" s="347"/>
      <c r="H30" s="491" t="s">
        <v>112</v>
      </c>
      <c r="I30" s="431" t="s">
        <v>57</v>
      </c>
      <c r="J30" s="432" t="s">
        <v>57</v>
      </c>
      <c r="K30" s="441" t="s">
        <v>57</v>
      </c>
      <c r="L30" s="431" t="s">
        <v>57</v>
      </c>
      <c r="M30" s="432" t="s">
        <v>57</v>
      </c>
      <c r="N30" s="347"/>
      <c r="O30" s="379" t="s">
        <v>57</v>
      </c>
      <c r="P30" s="384" t="s">
        <v>57</v>
      </c>
      <c r="Q30" s="381" t="s">
        <v>57</v>
      </c>
      <c r="R30" s="448" t="s">
        <v>57</v>
      </c>
      <c r="S30" s="347"/>
      <c r="T30" s="379" t="s">
        <v>57</v>
      </c>
      <c r="U30" s="380" t="s">
        <v>57</v>
      </c>
      <c r="V30" s="381" t="s">
        <v>57</v>
      </c>
      <c r="W30" s="382" t="s">
        <v>57</v>
      </c>
      <c r="X30" s="383" t="s">
        <v>57</v>
      </c>
      <c r="Y30" s="384" t="s">
        <v>57</v>
      </c>
      <c r="Z30" s="381" t="s">
        <v>57</v>
      </c>
      <c r="AA30" s="448" t="s">
        <v>57</v>
      </c>
      <c r="AB30" s="354"/>
      <c r="AC30" s="385">
        <f>SUM(AC31:AC36)</f>
        <v>805</v>
      </c>
      <c r="AD30" s="386">
        <f>SUM(AD31:AD36)</f>
        <v>802</v>
      </c>
      <c r="AE30" s="472" t="s">
        <v>57</v>
      </c>
      <c r="AF30" s="387">
        <f>SUM(AF31:AF36)</f>
        <v>3</v>
      </c>
      <c r="AG30" s="388">
        <f t="shared" ref="AG30:AI30" si="46">SUM(AG31:AG36)</f>
        <v>175</v>
      </c>
      <c r="AH30" s="389">
        <f t="shared" si="46"/>
        <v>104</v>
      </c>
      <c r="AI30" s="390">
        <f t="shared" si="46"/>
        <v>526</v>
      </c>
      <c r="AJ30" s="354"/>
      <c r="AK30" s="391">
        <f>SUM(AK31:AK36)</f>
        <v>779</v>
      </c>
      <c r="AL30" s="392">
        <f>SUM(AL31:AL36)</f>
        <v>805</v>
      </c>
      <c r="AM30" s="393">
        <f>SUM(AM31:AM36)</f>
        <v>26</v>
      </c>
      <c r="AN30" s="394">
        <f>AM30/AK30</f>
        <v>3.3376123234916559E-2</v>
      </c>
      <c r="AO30" s="354"/>
      <c r="AP30" s="391">
        <f>SUM(AP31:AP36)</f>
        <v>519</v>
      </c>
      <c r="AQ30" s="392">
        <f>SUM(AQ31:AQ36)</f>
        <v>526</v>
      </c>
      <c r="AR30" s="393">
        <f>SUM(AR31:AR36)</f>
        <v>7</v>
      </c>
      <c r="AS30" s="395">
        <f>AR30/AP30</f>
        <v>1.348747591522158E-2</v>
      </c>
      <c r="AT30" s="396" t="s">
        <v>57</v>
      </c>
      <c r="AU30" s="397" t="s">
        <v>57</v>
      </c>
      <c r="AV30" s="354"/>
      <c r="AW30" s="398" t="s">
        <v>57</v>
      </c>
      <c r="AX30" s="481" t="s">
        <v>57</v>
      </c>
      <c r="AY30" s="406" t="s">
        <v>57</v>
      </c>
      <c r="AZ30" s="403" t="s">
        <v>57</v>
      </c>
      <c r="BA30" s="399" t="s">
        <v>57</v>
      </c>
      <c r="BB30" s="396" t="s">
        <v>57</v>
      </c>
      <c r="BC30" s="397" t="s">
        <v>57</v>
      </c>
      <c r="BD30" s="354"/>
      <c r="BE30" s="396" t="s">
        <v>57</v>
      </c>
      <c r="BF30" s="400" t="s">
        <v>57</v>
      </c>
      <c r="BG30" s="401" t="s">
        <v>57</v>
      </c>
      <c r="BH30" s="402" t="s">
        <v>57</v>
      </c>
      <c r="BI30" s="403" t="s">
        <v>57</v>
      </c>
      <c r="BJ30" s="354"/>
      <c r="BK30" s="404">
        <f>SUM(BK31:BK36)</f>
        <v>67</v>
      </c>
      <c r="BL30" s="405">
        <v>3.33</v>
      </c>
      <c r="BM30" s="396" t="s">
        <v>57</v>
      </c>
      <c r="BN30" s="397" t="s">
        <v>57</v>
      </c>
      <c r="BO30" s="354"/>
      <c r="BP30" s="391" t="s">
        <v>57</v>
      </c>
      <c r="BQ30" s="406" t="s">
        <v>57</v>
      </c>
      <c r="BR30" s="401" t="s">
        <v>57</v>
      </c>
      <c r="BS30" s="407" t="s">
        <v>57</v>
      </c>
      <c r="BT30" s="396" t="s">
        <v>57</v>
      </c>
      <c r="BU30" s="397" t="s">
        <v>57</v>
      </c>
    </row>
    <row r="31" spans="2:73" s="3" customFormat="1" ht="15" x14ac:dyDescent="0.25">
      <c r="B31" s="408" t="s">
        <v>84</v>
      </c>
      <c r="C31" s="409" t="s">
        <v>85</v>
      </c>
      <c r="D31" s="499">
        <f>R31</f>
        <v>0</v>
      </c>
      <c r="E31" s="496">
        <f>AA31</f>
        <v>2097</v>
      </c>
      <c r="F31" s="493">
        <f>D31+E31</f>
        <v>2097</v>
      </c>
      <c r="G31" s="451"/>
      <c r="H31" s="484">
        <v>0</v>
      </c>
      <c r="I31" s="46">
        <v>0</v>
      </c>
      <c r="J31" s="80">
        <v>0</v>
      </c>
      <c r="K31" s="155">
        <v>0</v>
      </c>
      <c r="L31" s="46">
        <v>0</v>
      </c>
      <c r="M31" s="80">
        <f>IF(L31="","",L31*5/100)</f>
        <v>0</v>
      </c>
      <c r="N31" s="451"/>
      <c r="O31" s="136">
        <f>$O$5*AG31+$O$5*2*AH31+$O$5*3*AI31</f>
        <v>0</v>
      </c>
      <c r="P31" s="266">
        <f t="shared" ref="P31:P36" si="47">-O31*J31</f>
        <v>0</v>
      </c>
      <c r="Q31" s="266">
        <f>O31+P31</f>
        <v>0</v>
      </c>
      <c r="R31" s="449">
        <f>ROUND(Q31,0)</f>
        <v>0</v>
      </c>
      <c r="S31" s="451"/>
      <c r="T31" s="452">
        <f t="shared" ref="T31:T36" si="48">SUM(AU31,BC31,BN31,BU31)</f>
        <v>49.739871346481387</v>
      </c>
      <c r="U31" s="453">
        <f t="shared" ref="U31:U36" si="49">(T31/($T$38/21))-1</f>
        <v>-0.1312453052381275</v>
      </c>
      <c r="V31" s="454">
        <f t="shared" ref="V31:V36" si="50">T31*AC31</f>
        <v>5869.3048188848034</v>
      </c>
      <c r="W31" s="455">
        <f t="shared" ref="W31:W36" si="51">V31/$V$38</f>
        <v>4.3692947900455539E-2</v>
      </c>
      <c r="X31" s="456">
        <f t="shared" ref="X31:X36" si="52">ROUND(W31*$X$41,0)</f>
        <v>2097</v>
      </c>
      <c r="Y31" s="266">
        <f t="shared" ref="Y31:Y36" si="53">-X31*M31</f>
        <v>0</v>
      </c>
      <c r="Z31" s="457">
        <f t="shared" si="5"/>
        <v>2097</v>
      </c>
      <c r="AA31" s="466">
        <f t="shared" si="6"/>
        <v>2097</v>
      </c>
      <c r="AB31" s="45"/>
      <c r="AC31" s="124">
        <f>AD31+AF31</f>
        <v>118</v>
      </c>
      <c r="AD31" s="284">
        <v>118</v>
      </c>
      <c r="AE31" s="284">
        <v>0</v>
      </c>
      <c r="AF31" s="410">
        <v>0</v>
      </c>
      <c r="AG31" s="411">
        <v>34</v>
      </c>
      <c r="AH31" s="343">
        <v>15</v>
      </c>
      <c r="AI31" s="51">
        <v>69</v>
      </c>
      <c r="AJ31" s="45"/>
      <c r="AK31" s="412">
        <v>112</v>
      </c>
      <c r="AL31" s="413">
        <v>118</v>
      </c>
      <c r="AM31" s="414">
        <f>AL31-AK31</f>
        <v>6</v>
      </c>
      <c r="AN31" s="415">
        <f>AM31/AK31</f>
        <v>5.3571428571428568E-2</v>
      </c>
      <c r="AO31" s="45"/>
      <c r="AP31" s="412">
        <v>62</v>
      </c>
      <c r="AQ31" s="413">
        <v>69</v>
      </c>
      <c r="AR31" s="414">
        <f>AQ31-AP31</f>
        <v>7</v>
      </c>
      <c r="AS31" s="416">
        <f>AR31/AP31</f>
        <v>0.11290322580645161</v>
      </c>
      <c r="AT31" s="417">
        <f t="shared" ref="AT31:AT36" si="54">100*(AS31-MIN(AS$11:AS$14,AS$17:AS$17,AS$20:AS$28,AS$31:AS$36))/(MAX(AS$11:AS$14,AS$17:AS$17,AS$20:AS$28,AS$31:AS$36)-MIN(AS$11:AS$14,AS$17:AS$17,AS$20:AS$28,AS$31:AS$36))</f>
        <v>40.446650124069478</v>
      </c>
      <c r="AU31" s="418">
        <f t="shared" si="11"/>
        <v>8.0893300248138953</v>
      </c>
      <c r="AV31" s="45"/>
      <c r="AW31" s="342">
        <f t="shared" ref="AW31:AW36" si="55">BE31-AX31</f>
        <v>4</v>
      </c>
      <c r="AX31" s="343">
        <v>2</v>
      </c>
      <c r="AY31" s="85">
        <f t="shared" ref="AY31:AY36" si="56">BF31-AZ31</f>
        <v>1</v>
      </c>
      <c r="AZ31" s="51">
        <v>3</v>
      </c>
      <c r="BA31" s="419">
        <f t="shared" si="40"/>
        <v>0.5</v>
      </c>
      <c r="BB31" s="417">
        <f t="shared" ref="BB31:BB36" si="57">100*(BA31-MIN(BA$11:BA$14,BA$17:BA$17,BA$20:BA$28,BA$31:BA$36))/(MAX(BA$11:BA$14,BA$17:BA$17,BA$20:BA$28,BA$31:BA$36)-MIN(BA$11:BA$14,BA$17:BA$17,BA$20:BA$28,BA$31:BA$36))</f>
        <v>33.333333333333336</v>
      </c>
      <c r="BC31" s="418">
        <f t="shared" si="13"/>
        <v>8.3333333333333339</v>
      </c>
      <c r="BD31" s="45"/>
      <c r="BE31" s="420">
        <f t="shared" ref="BE31:BE36" si="58">SUM(BF31:BI31)</f>
        <v>6</v>
      </c>
      <c r="BF31" s="421">
        <v>4</v>
      </c>
      <c r="BG31" s="422">
        <v>1</v>
      </c>
      <c r="BH31" s="422">
        <v>1</v>
      </c>
      <c r="BI31" s="51">
        <v>0</v>
      </c>
      <c r="BJ31" s="45"/>
      <c r="BK31" s="423">
        <v>6</v>
      </c>
      <c r="BL31" s="424">
        <v>2.67</v>
      </c>
      <c r="BM31" s="425">
        <f t="shared" ref="BM31:BM36" si="59">100*(BL31-MIN(BL$11:BL$14,BL$17:BL$17,BL$20:BL$28,BL$31:BL$36))/(MAX(BL$11:BL$14,BL$17:BL$17,BL$20:BL$28,BL$31:BL$36)-MIN(BL$11:BL$14,BL$17:BL$17,BL$20:BL$28,BL$31:BL$36))</f>
        <v>52.1484375</v>
      </c>
      <c r="BN31" s="418">
        <f t="shared" si="14"/>
        <v>18.251953125</v>
      </c>
      <c r="BO31" s="45"/>
      <c r="BP31" s="412">
        <v>1</v>
      </c>
      <c r="BQ31" s="85">
        <v>874</v>
      </c>
      <c r="BR31" s="422">
        <f t="shared" ref="BR31:BR36" si="60">AP31</f>
        <v>62</v>
      </c>
      <c r="BS31" s="426">
        <f t="shared" ref="BS31:BS36" si="61">BQ31/BR31/100</f>
        <v>0.14096774193548389</v>
      </c>
      <c r="BT31" s="425">
        <f t="shared" ref="BT31:BT36" si="62">100*(BS31-MIN(BS$11:BS$14,BS$17:BS$17,BS$20:BS$28,BS$31:BS$36))/(MAX(BS$11:BS$14,BS$17:BS$17,BS$20:BS$28,BS$31:BS$36)-MIN(BS$11:BS$14,BS$17:BS$17,BS$20:BS$28,BS$31:BS$36))</f>
        <v>75.326274316670776</v>
      </c>
      <c r="BU31" s="418">
        <f t="shared" si="15"/>
        <v>15.065254863334156</v>
      </c>
    </row>
    <row r="32" spans="2:73" s="3" customFormat="1" ht="15" x14ac:dyDescent="0.25">
      <c r="B32" s="427" t="s">
        <v>86</v>
      </c>
      <c r="C32" s="428" t="s">
        <v>87</v>
      </c>
      <c r="D32" s="500">
        <f>R32</f>
        <v>0</v>
      </c>
      <c r="E32" s="497">
        <f>AA32</f>
        <v>6252</v>
      </c>
      <c r="F32" s="494">
        <f>D32+E32</f>
        <v>6252</v>
      </c>
      <c r="G32" s="451"/>
      <c r="H32" s="490">
        <v>0</v>
      </c>
      <c r="I32" s="52">
        <v>0</v>
      </c>
      <c r="J32" s="81">
        <v>0</v>
      </c>
      <c r="K32" s="125">
        <v>0</v>
      </c>
      <c r="L32" s="52">
        <v>0</v>
      </c>
      <c r="M32" s="81">
        <f>IF(L32="","",L32*5/100)</f>
        <v>0</v>
      </c>
      <c r="N32" s="451"/>
      <c r="O32" s="137">
        <f t="shared" ref="O32:O36" si="63">$O$5*AG32+$O$5*2*AH32+$O$5*3*AI32</f>
        <v>0</v>
      </c>
      <c r="P32" s="330">
        <f t="shared" si="47"/>
        <v>0</v>
      </c>
      <c r="Q32" s="267">
        <f>O32+P32</f>
        <v>0</v>
      </c>
      <c r="R32" s="450">
        <f>ROUND(Q32,0)</f>
        <v>0</v>
      </c>
      <c r="S32" s="451"/>
      <c r="T32" s="311">
        <f t="shared" si="48"/>
        <v>53.509679934679724</v>
      </c>
      <c r="U32" s="312">
        <f t="shared" si="49"/>
        <v>-6.540197230030298E-2</v>
      </c>
      <c r="V32" s="313">
        <f t="shared" si="50"/>
        <v>17497.665338640269</v>
      </c>
      <c r="W32" s="314">
        <f t="shared" si="51"/>
        <v>0.13025811465114526</v>
      </c>
      <c r="X32" s="315">
        <f t="shared" si="52"/>
        <v>6252</v>
      </c>
      <c r="Y32" s="267">
        <f t="shared" si="53"/>
        <v>0</v>
      </c>
      <c r="Z32" s="458">
        <f t="shared" si="5"/>
        <v>6252</v>
      </c>
      <c r="AA32" s="467">
        <f t="shared" si="6"/>
        <v>6252</v>
      </c>
      <c r="AB32" s="45"/>
      <c r="AC32" s="125">
        <f>AD32+AF32</f>
        <v>327</v>
      </c>
      <c r="AD32" s="53">
        <v>326</v>
      </c>
      <c r="AE32" s="53">
        <v>0</v>
      </c>
      <c r="AF32" s="54">
        <v>1</v>
      </c>
      <c r="AG32" s="55">
        <v>42</v>
      </c>
      <c r="AH32" s="56">
        <v>36</v>
      </c>
      <c r="AI32" s="57">
        <v>249</v>
      </c>
      <c r="AJ32" s="45"/>
      <c r="AK32" s="169">
        <v>337</v>
      </c>
      <c r="AL32" s="175">
        <v>327</v>
      </c>
      <c r="AM32" s="165">
        <f>AL32-AK32</f>
        <v>-10</v>
      </c>
      <c r="AN32" s="286">
        <f t="shared" ref="AN32:AN36" si="64">AM32/AK32</f>
        <v>-2.967359050445104E-2</v>
      </c>
      <c r="AO32" s="45"/>
      <c r="AP32" s="169">
        <v>261</v>
      </c>
      <c r="AQ32" s="175">
        <v>249</v>
      </c>
      <c r="AR32" s="165">
        <f>AQ32-AP32</f>
        <v>-12</v>
      </c>
      <c r="AS32" s="188">
        <f t="shared" ref="AS32:AS36" si="65">AR32/AP32</f>
        <v>-4.5977011494252873E-2</v>
      </c>
      <c r="AT32" s="215">
        <f t="shared" si="54"/>
        <v>16.003536693191865</v>
      </c>
      <c r="AU32" s="280">
        <f t="shared" si="11"/>
        <v>3.2007073386383733</v>
      </c>
      <c r="AV32" s="45"/>
      <c r="AW32" s="183">
        <f t="shared" si="55"/>
        <v>8</v>
      </c>
      <c r="AX32" s="56">
        <v>0</v>
      </c>
      <c r="AY32" s="86">
        <f t="shared" si="56"/>
        <v>3</v>
      </c>
      <c r="AZ32" s="57">
        <v>4</v>
      </c>
      <c r="BA32" s="191">
        <f t="shared" si="40"/>
        <v>0.73333333333333328</v>
      </c>
      <c r="BB32" s="215">
        <f t="shared" si="57"/>
        <v>64.444444444444443</v>
      </c>
      <c r="BC32" s="280">
        <f t="shared" si="13"/>
        <v>16.111111111111111</v>
      </c>
      <c r="BD32" s="45"/>
      <c r="BE32" s="106">
        <f t="shared" si="58"/>
        <v>8</v>
      </c>
      <c r="BF32" s="100">
        <v>7</v>
      </c>
      <c r="BG32" s="94">
        <v>0</v>
      </c>
      <c r="BH32" s="94">
        <v>1</v>
      </c>
      <c r="BI32" s="57">
        <v>0</v>
      </c>
      <c r="BJ32" s="45"/>
      <c r="BK32" s="296">
        <v>39</v>
      </c>
      <c r="BL32" s="297">
        <v>3.38</v>
      </c>
      <c r="BM32" s="207">
        <f t="shared" si="59"/>
        <v>66.015625</v>
      </c>
      <c r="BN32" s="280">
        <f t="shared" si="14"/>
        <v>23.10546875</v>
      </c>
      <c r="BO32" s="45"/>
      <c r="BP32" s="169">
        <v>5</v>
      </c>
      <c r="BQ32" s="86">
        <v>2709</v>
      </c>
      <c r="BR32" s="94">
        <f t="shared" si="60"/>
        <v>261</v>
      </c>
      <c r="BS32" s="197">
        <f t="shared" si="61"/>
        <v>0.10379310344827586</v>
      </c>
      <c r="BT32" s="207">
        <f t="shared" si="62"/>
        <v>55.461963674651216</v>
      </c>
      <c r="BU32" s="280">
        <f t="shared" si="15"/>
        <v>11.092392734930243</v>
      </c>
    </row>
    <row r="33" spans="2:73" s="3" customFormat="1" ht="15" x14ac:dyDescent="0.25">
      <c r="B33" s="427" t="s">
        <v>88</v>
      </c>
      <c r="C33" s="428" t="s">
        <v>89</v>
      </c>
      <c r="D33" s="500">
        <f t="shared" ref="D33:D35" si="66">R33</f>
        <v>0</v>
      </c>
      <c r="E33" s="497">
        <f t="shared" ref="E33:E35" si="67">AA33</f>
        <v>4135</v>
      </c>
      <c r="F33" s="494">
        <f t="shared" ref="F33:F35" si="68">D33+E33</f>
        <v>4135</v>
      </c>
      <c r="G33" s="451"/>
      <c r="H33" s="490">
        <v>0</v>
      </c>
      <c r="I33" s="52">
        <v>0</v>
      </c>
      <c r="J33" s="81">
        <v>0</v>
      </c>
      <c r="K33" s="125">
        <v>0</v>
      </c>
      <c r="L33" s="52">
        <v>0</v>
      </c>
      <c r="M33" s="81">
        <f t="shared" ref="M33:M35" si="69">IF(L33="","",L33*5/100)</f>
        <v>0</v>
      </c>
      <c r="N33" s="451"/>
      <c r="O33" s="137">
        <f t="shared" si="63"/>
        <v>0</v>
      </c>
      <c r="P33" s="330">
        <f t="shared" si="47"/>
        <v>0</v>
      </c>
      <c r="Q33" s="267">
        <f t="shared" ref="Q33:Q35" si="70">O33+P33</f>
        <v>0</v>
      </c>
      <c r="R33" s="450">
        <f t="shared" ref="R33:R35" si="71">ROUND(Q33,0)</f>
        <v>0</v>
      </c>
      <c r="S33" s="451"/>
      <c r="T33" s="311">
        <f t="shared" si="48"/>
        <v>58.443100439633469</v>
      </c>
      <c r="U33" s="312">
        <f t="shared" si="49"/>
        <v>2.0764961969747864E-2</v>
      </c>
      <c r="V33" s="313">
        <f t="shared" si="50"/>
        <v>11571.733887047427</v>
      </c>
      <c r="W33" s="314">
        <f t="shared" si="51"/>
        <v>8.6143620317331929E-2</v>
      </c>
      <c r="X33" s="315">
        <f t="shared" si="52"/>
        <v>4135</v>
      </c>
      <c r="Y33" s="267">
        <f t="shared" si="53"/>
        <v>0</v>
      </c>
      <c r="Z33" s="458">
        <f t="shared" si="5"/>
        <v>4135</v>
      </c>
      <c r="AA33" s="467">
        <f t="shared" si="6"/>
        <v>4135</v>
      </c>
      <c r="AB33" s="45"/>
      <c r="AC33" s="125">
        <f t="shared" ref="AC33:AC35" si="72">AD33+AF33</f>
        <v>198</v>
      </c>
      <c r="AD33" s="53">
        <v>197</v>
      </c>
      <c r="AE33" s="53">
        <v>1</v>
      </c>
      <c r="AF33" s="54">
        <v>1</v>
      </c>
      <c r="AG33" s="55">
        <v>47</v>
      </c>
      <c r="AH33" s="56">
        <v>26</v>
      </c>
      <c r="AI33" s="57">
        <v>125</v>
      </c>
      <c r="AJ33" s="45"/>
      <c r="AK33" s="169">
        <v>194</v>
      </c>
      <c r="AL33" s="175">
        <v>198</v>
      </c>
      <c r="AM33" s="165">
        <f t="shared" ref="AM33:AM36" si="73">AL33-AK33</f>
        <v>4</v>
      </c>
      <c r="AN33" s="286">
        <f t="shared" si="64"/>
        <v>2.0618556701030927E-2</v>
      </c>
      <c r="AO33" s="45"/>
      <c r="AP33" s="169">
        <v>123</v>
      </c>
      <c r="AQ33" s="175">
        <v>125</v>
      </c>
      <c r="AR33" s="165">
        <f t="shared" ref="AR33:AR36" si="74">AQ33-AP33</f>
        <v>2</v>
      </c>
      <c r="AS33" s="188">
        <f t="shared" si="65"/>
        <v>1.6260162601626018E-2</v>
      </c>
      <c r="AT33" s="215">
        <f t="shared" si="54"/>
        <v>25.578486554096308</v>
      </c>
      <c r="AU33" s="280">
        <f t="shared" si="11"/>
        <v>5.1156973108192618</v>
      </c>
      <c r="AV33" s="45"/>
      <c r="AW33" s="183">
        <f t="shared" si="55"/>
        <v>7</v>
      </c>
      <c r="AX33" s="56">
        <v>1</v>
      </c>
      <c r="AY33" s="86">
        <f t="shared" si="56"/>
        <v>3</v>
      </c>
      <c r="AZ33" s="57">
        <v>1</v>
      </c>
      <c r="BA33" s="191">
        <f t="shared" si="40"/>
        <v>0.83333333333333337</v>
      </c>
      <c r="BB33" s="215">
        <f t="shared" si="57"/>
        <v>77.777777777777786</v>
      </c>
      <c r="BC33" s="280">
        <f t="shared" si="13"/>
        <v>19.444444444444446</v>
      </c>
      <c r="BD33" s="45"/>
      <c r="BE33" s="106">
        <f t="shared" si="58"/>
        <v>8</v>
      </c>
      <c r="BF33" s="100">
        <v>4</v>
      </c>
      <c r="BG33" s="94">
        <v>2</v>
      </c>
      <c r="BH33" s="94">
        <v>2</v>
      </c>
      <c r="BI33" s="57">
        <v>0</v>
      </c>
      <c r="BJ33" s="45"/>
      <c r="BK33" s="296">
        <v>14</v>
      </c>
      <c r="BL33" s="297">
        <v>3.5</v>
      </c>
      <c r="BM33" s="207">
        <f t="shared" si="59"/>
        <v>68.359375</v>
      </c>
      <c r="BN33" s="280">
        <f t="shared" si="14"/>
        <v>23.92578125</v>
      </c>
      <c r="BO33" s="45"/>
      <c r="BP33" s="169">
        <v>5</v>
      </c>
      <c r="BQ33" s="86">
        <v>1146</v>
      </c>
      <c r="BR33" s="94">
        <f t="shared" si="60"/>
        <v>123</v>
      </c>
      <c r="BS33" s="197">
        <f t="shared" si="61"/>
        <v>9.3170731707317073E-2</v>
      </c>
      <c r="BT33" s="207">
        <f t="shared" si="62"/>
        <v>49.785887171848806</v>
      </c>
      <c r="BU33" s="280">
        <f t="shared" si="15"/>
        <v>9.9571774343697612</v>
      </c>
    </row>
    <row r="34" spans="2:73" s="3" customFormat="1" ht="15" x14ac:dyDescent="0.25">
      <c r="B34" s="427" t="s">
        <v>90</v>
      </c>
      <c r="C34" s="428" t="s">
        <v>91</v>
      </c>
      <c r="D34" s="500">
        <f t="shared" si="66"/>
        <v>0</v>
      </c>
      <c r="E34" s="497">
        <f t="shared" si="67"/>
        <v>1646</v>
      </c>
      <c r="F34" s="494">
        <f t="shared" si="68"/>
        <v>1646</v>
      </c>
      <c r="G34" s="451"/>
      <c r="H34" s="490">
        <v>0</v>
      </c>
      <c r="I34" s="52">
        <v>0</v>
      </c>
      <c r="J34" s="81">
        <v>0</v>
      </c>
      <c r="K34" s="125">
        <v>0</v>
      </c>
      <c r="L34" s="52">
        <v>0</v>
      </c>
      <c r="M34" s="81">
        <f t="shared" si="69"/>
        <v>0</v>
      </c>
      <c r="N34" s="451"/>
      <c r="O34" s="137">
        <f t="shared" si="63"/>
        <v>0</v>
      </c>
      <c r="P34" s="330">
        <f t="shared" si="47"/>
        <v>0</v>
      </c>
      <c r="Q34" s="267">
        <f t="shared" si="70"/>
        <v>0</v>
      </c>
      <c r="R34" s="450">
        <f t="shared" si="71"/>
        <v>0</v>
      </c>
      <c r="S34" s="451"/>
      <c r="T34" s="311">
        <f t="shared" si="48"/>
        <v>74.302022549055579</v>
      </c>
      <c r="U34" s="312">
        <f t="shared" si="49"/>
        <v>0.29775629032383599</v>
      </c>
      <c r="V34" s="313">
        <f t="shared" si="50"/>
        <v>4606.7253980414462</v>
      </c>
      <c r="W34" s="314">
        <f t="shared" si="51"/>
        <v>3.4293910270377585E-2</v>
      </c>
      <c r="X34" s="315">
        <f t="shared" si="52"/>
        <v>1646</v>
      </c>
      <c r="Y34" s="267">
        <f t="shared" si="53"/>
        <v>0</v>
      </c>
      <c r="Z34" s="458">
        <f t="shared" si="5"/>
        <v>1646</v>
      </c>
      <c r="AA34" s="467">
        <f t="shared" si="6"/>
        <v>1646</v>
      </c>
      <c r="AB34" s="45"/>
      <c r="AC34" s="125">
        <f t="shared" si="72"/>
        <v>62</v>
      </c>
      <c r="AD34" s="53">
        <v>61</v>
      </c>
      <c r="AE34" s="53">
        <v>0</v>
      </c>
      <c r="AF34" s="54">
        <v>1</v>
      </c>
      <c r="AG34" s="55">
        <v>23</v>
      </c>
      <c r="AH34" s="56">
        <v>5</v>
      </c>
      <c r="AI34" s="57">
        <v>34</v>
      </c>
      <c r="AJ34" s="45"/>
      <c r="AK34" s="169">
        <v>49</v>
      </c>
      <c r="AL34" s="175">
        <v>62</v>
      </c>
      <c r="AM34" s="165">
        <f t="shared" si="73"/>
        <v>13</v>
      </c>
      <c r="AN34" s="286">
        <f t="shared" si="64"/>
        <v>0.26530612244897961</v>
      </c>
      <c r="AO34" s="45"/>
      <c r="AP34" s="169">
        <v>30</v>
      </c>
      <c r="AQ34" s="175">
        <v>34</v>
      </c>
      <c r="AR34" s="165">
        <f t="shared" si="74"/>
        <v>4</v>
      </c>
      <c r="AS34" s="188">
        <f t="shared" si="65"/>
        <v>0.13333333333333333</v>
      </c>
      <c r="AT34" s="215">
        <f t="shared" si="54"/>
        <v>43.589743589743584</v>
      </c>
      <c r="AU34" s="280">
        <f t="shared" si="11"/>
        <v>8.7179487179487172</v>
      </c>
      <c r="AV34" s="45"/>
      <c r="AW34" s="183">
        <f t="shared" si="55"/>
        <v>4</v>
      </c>
      <c r="AX34" s="56">
        <v>0</v>
      </c>
      <c r="AY34" s="86">
        <f t="shared" si="56"/>
        <v>2</v>
      </c>
      <c r="AZ34" s="57">
        <v>0</v>
      </c>
      <c r="BA34" s="191">
        <f t="shared" si="40"/>
        <v>1</v>
      </c>
      <c r="BB34" s="215">
        <f t="shared" si="57"/>
        <v>100</v>
      </c>
      <c r="BC34" s="280">
        <f t="shared" si="13"/>
        <v>25</v>
      </c>
      <c r="BD34" s="45"/>
      <c r="BE34" s="106">
        <f t="shared" si="58"/>
        <v>4</v>
      </c>
      <c r="BF34" s="100">
        <v>2</v>
      </c>
      <c r="BG34" s="94">
        <v>0</v>
      </c>
      <c r="BH34" s="94">
        <v>1</v>
      </c>
      <c r="BI34" s="57">
        <v>1</v>
      </c>
      <c r="BJ34" s="45"/>
      <c r="BK34" s="296">
        <v>6</v>
      </c>
      <c r="BL34" s="297">
        <v>3.67</v>
      </c>
      <c r="BM34" s="207">
        <f t="shared" si="59"/>
        <v>71.6796875</v>
      </c>
      <c r="BN34" s="280">
        <f t="shared" si="14"/>
        <v>25.087890625</v>
      </c>
      <c r="BO34" s="45"/>
      <c r="BP34" s="169">
        <v>1</v>
      </c>
      <c r="BQ34" s="86">
        <v>435</v>
      </c>
      <c r="BR34" s="94">
        <f t="shared" si="60"/>
        <v>30</v>
      </c>
      <c r="BS34" s="197">
        <f t="shared" si="61"/>
        <v>0.14499999999999999</v>
      </c>
      <c r="BT34" s="207">
        <f t="shared" si="62"/>
        <v>77.480916030534331</v>
      </c>
      <c r="BU34" s="280">
        <f t="shared" si="15"/>
        <v>15.496183206106867</v>
      </c>
    </row>
    <row r="35" spans="2:73" s="3" customFormat="1" ht="15" x14ac:dyDescent="0.25">
      <c r="B35" s="427" t="s">
        <v>92</v>
      </c>
      <c r="C35" s="428" t="s">
        <v>93</v>
      </c>
      <c r="D35" s="500">
        <f t="shared" si="66"/>
        <v>0</v>
      </c>
      <c r="E35" s="497">
        <f t="shared" si="67"/>
        <v>950</v>
      </c>
      <c r="F35" s="494">
        <f t="shared" si="68"/>
        <v>950</v>
      </c>
      <c r="G35" s="451"/>
      <c r="H35" s="490">
        <v>0</v>
      </c>
      <c r="I35" s="52">
        <v>0</v>
      </c>
      <c r="J35" s="81">
        <v>0</v>
      </c>
      <c r="K35" s="125">
        <v>0</v>
      </c>
      <c r="L35" s="52">
        <v>0</v>
      </c>
      <c r="M35" s="81">
        <f t="shared" si="69"/>
        <v>0</v>
      </c>
      <c r="N35" s="451"/>
      <c r="O35" s="137">
        <f t="shared" si="63"/>
        <v>0</v>
      </c>
      <c r="P35" s="330">
        <f t="shared" si="47"/>
        <v>0</v>
      </c>
      <c r="Q35" s="267">
        <f t="shared" si="70"/>
        <v>0</v>
      </c>
      <c r="R35" s="450">
        <f t="shared" si="71"/>
        <v>0</v>
      </c>
      <c r="S35" s="451"/>
      <c r="T35" s="311">
        <f t="shared" si="48"/>
        <v>71.8359375</v>
      </c>
      <c r="U35" s="312">
        <f t="shared" si="49"/>
        <v>0.25468374296790763</v>
      </c>
      <c r="V35" s="313">
        <f t="shared" si="50"/>
        <v>2657.9296875</v>
      </c>
      <c r="W35" s="314">
        <f t="shared" si="51"/>
        <v>1.9786463123426152E-2</v>
      </c>
      <c r="X35" s="315">
        <f t="shared" si="52"/>
        <v>950</v>
      </c>
      <c r="Y35" s="267">
        <f t="shared" si="53"/>
        <v>0</v>
      </c>
      <c r="Z35" s="458">
        <f t="shared" si="5"/>
        <v>950</v>
      </c>
      <c r="AA35" s="467">
        <f t="shared" si="6"/>
        <v>950</v>
      </c>
      <c r="AB35" s="45"/>
      <c r="AC35" s="125">
        <f t="shared" si="72"/>
        <v>37</v>
      </c>
      <c r="AD35" s="53">
        <v>37</v>
      </c>
      <c r="AE35" s="53">
        <v>0</v>
      </c>
      <c r="AF35" s="54">
        <v>0</v>
      </c>
      <c r="AG35" s="55">
        <v>10</v>
      </c>
      <c r="AH35" s="56">
        <v>6</v>
      </c>
      <c r="AI35" s="57">
        <v>21</v>
      </c>
      <c r="AJ35" s="45"/>
      <c r="AK35" s="169">
        <v>31</v>
      </c>
      <c r="AL35" s="175">
        <v>37</v>
      </c>
      <c r="AM35" s="165">
        <f t="shared" si="73"/>
        <v>6</v>
      </c>
      <c r="AN35" s="286">
        <f t="shared" si="64"/>
        <v>0.19354838709677419</v>
      </c>
      <c r="AO35" s="45"/>
      <c r="AP35" s="169">
        <v>14</v>
      </c>
      <c r="AQ35" s="175">
        <v>21</v>
      </c>
      <c r="AR35" s="165">
        <f t="shared" si="74"/>
        <v>7</v>
      </c>
      <c r="AS35" s="188">
        <f t="shared" si="65"/>
        <v>0.5</v>
      </c>
      <c r="AT35" s="215">
        <f t="shared" si="54"/>
        <v>100</v>
      </c>
      <c r="AU35" s="280">
        <f t="shared" si="11"/>
        <v>20</v>
      </c>
      <c r="AV35" s="45"/>
      <c r="AW35" s="183">
        <f t="shared" si="55"/>
        <v>3</v>
      </c>
      <c r="AX35" s="56">
        <v>0</v>
      </c>
      <c r="AY35" s="86">
        <f t="shared" si="56"/>
        <v>1</v>
      </c>
      <c r="AZ35" s="57">
        <v>0</v>
      </c>
      <c r="BA35" s="191">
        <f t="shared" si="40"/>
        <v>1</v>
      </c>
      <c r="BB35" s="215">
        <f t="shared" si="57"/>
        <v>100</v>
      </c>
      <c r="BC35" s="280">
        <f t="shared" si="13"/>
        <v>25</v>
      </c>
      <c r="BD35" s="45"/>
      <c r="BE35" s="106">
        <f t="shared" si="58"/>
        <v>3</v>
      </c>
      <c r="BF35" s="100">
        <v>1</v>
      </c>
      <c r="BG35" s="94">
        <v>1</v>
      </c>
      <c r="BH35" s="94">
        <v>1</v>
      </c>
      <c r="BI35" s="57">
        <v>0</v>
      </c>
      <c r="BJ35" s="45"/>
      <c r="BK35" s="296">
        <v>1</v>
      </c>
      <c r="BL35" s="297">
        <v>1</v>
      </c>
      <c r="BM35" s="207">
        <f t="shared" si="59"/>
        <v>19.53125</v>
      </c>
      <c r="BN35" s="280">
        <f t="shared" si="14"/>
        <v>6.8359375</v>
      </c>
      <c r="BO35" s="45"/>
      <c r="BP35" s="169">
        <v>1</v>
      </c>
      <c r="BQ35" s="86">
        <v>262</v>
      </c>
      <c r="BR35" s="94">
        <f t="shared" si="60"/>
        <v>14</v>
      </c>
      <c r="BS35" s="197">
        <f t="shared" si="61"/>
        <v>0.18714285714285717</v>
      </c>
      <c r="BT35" s="207">
        <f t="shared" si="62"/>
        <v>99.999999999999986</v>
      </c>
      <c r="BU35" s="280">
        <f t="shared" si="15"/>
        <v>20</v>
      </c>
    </row>
    <row r="36" spans="2:73" s="3" customFormat="1" ht="15.75" thickBot="1" x14ac:dyDescent="0.3">
      <c r="B36" s="429" t="s">
        <v>94</v>
      </c>
      <c r="C36" s="430" t="s">
        <v>95</v>
      </c>
      <c r="D36" s="501">
        <f>R36</f>
        <v>0</v>
      </c>
      <c r="E36" s="498">
        <f>AA36</f>
        <v>1365</v>
      </c>
      <c r="F36" s="495">
        <f>D36+E36</f>
        <v>1365</v>
      </c>
      <c r="G36" s="451"/>
      <c r="H36" s="488">
        <v>0</v>
      </c>
      <c r="I36" s="58">
        <v>0</v>
      </c>
      <c r="J36" s="82">
        <v>0</v>
      </c>
      <c r="K36" s="126">
        <v>0</v>
      </c>
      <c r="L36" s="58">
        <v>0</v>
      </c>
      <c r="M36" s="82">
        <f>IF(L36="","",L36*5/100)</f>
        <v>0</v>
      </c>
      <c r="N36" s="451"/>
      <c r="O36" s="138">
        <f t="shared" si="63"/>
        <v>0</v>
      </c>
      <c r="P36" s="268">
        <f t="shared" si="47"/>
        <v>0</v>
      </c>
      <c r="Q36" s="268">
        <f>O36+P36</f>
        <v>0</v>
      </c>
      <c r="R36" s="446">
        <f>ROUND(Q36,0)</f>
        <v>0</v>
      </c>
      <c r="S36" s="451"/>
      <c r="T36" s="459">
        <f t="shared" si="48"/>
        <v>60.637165028668136</v>
      </c>
      <c r="U36" s="460">
        <f t="shared" si="49"/>
        <v>5.9086410351810947E-2</v>
      </c>
      <c r="V36" s="461">
        <f t="shared" si="50"/>
        <v>3820.1413968060924</v>
      </c>
      <c r="W36" s="462">
        <f t="shared" si="51"/>
        <v>2.8438331995634263E-2</v>
      </c>
      <c r="X36" s="463">
        <f t="shared" si="52"/>
        <v>1365</v>
      </c>
      <c r="Y36" s="268">
        <f t="shared" si="53"/>
        <v>0</v>
      </c>
      <c r="Z36" s="268">
        <f t="shared" si="5"/>
        <v>1365</v>
      </c>
      <c r="AA36" s="468">
        <f t="shared" si="6"/>
        <v>1365</v>
      </c>
      <c r="AB36" s="45"/>
      <c r="AC36" s="126">
        <f>AD36+AF36</f>
        <v>63</v>
      </c>
      <c r="AD36" s="59">
        <v>63</v>
      </c>
      <c r="AE36" s="59">
        <v>0</v>
      </c>
      <c r="AF36" s="60">
        <v>0</v>
      </c>
      <c r="AG36" s="61">
        <v>19</v>
      </c>
      <c r="AH36" s="62">
        <v>16</v>
      </c>
      <c r="AI36" s="63">
        <v>28</v>
      </c>
      <c r="AJ36" s="45"/>
      <c r="AK36" s="170">
        <v>56</v>
      </c>
      <c r="AL36" s="176">
        <v>63</v>
      </c>
      <c r="AM36" s="166">
        <f t="shared" si="73"/>
        <v>7</v>
      </c>
      <c r="AN36" s="287">
        <f t="shared" si="64"/>
        <v>0.125</v>
      </c>
      <c r="AO36" s="45"/>
      <c r="AP36" s="170">
        <v>29</v>
      </c>
      <c r="AQ36" s="176">
        <v>28</v>
      </c>
      <c r="AR36" s="166">
        <f t="shared" si="74"/>
        <v>-1</v>
      </c>
      <c r="AS36" s="189">
        <f t="shared" si="65"/>
        <v>-3.4482758620689655E-2</v>
      </c>
      <c r="AT36" s="216">
        <f t="shared" si="54"/>
        <v>17.771883289124666</v>
      </c>
      <c r="AU36" s="281">
        <f t="shared" si="11"/>
        <v>3.5543766578249336</v>
      </c>
      <c r="AV36" s="45"/>
      <c r="AW36" s="184">
        <f t="shared" si="55"/>
        <v>3</v>
      </c>
      <c r="AX36" s="62">
        <v>0</v>
      </c>
      <c r="AY36" s="87">
        <f t="shared" si="56"/>
        <v>1</v>
      </c>
      <c r="AZ36" s="63">
        <v>1</v>
      </c>
      <c r="BA36" s="192">
        <f t="shared" si="40"/>
        <v>0.8</v>
      </c>
      <c r="BB36" s="216">
        <f t="shared" si="57"/>
        <v>73.333333333333343</v>
      </c>
      <c r="BC36" s="281">
        <f t="shared" si="13"/>
        <v>18.333333333333336</v>
      </c>
      <c r="BD36" s="45"/>
      <c r="BE36" s="107">
        <f t="shared" si="58"/>
        <v>3</v>
      </c>
      <c r="BF36" s="101">
        <v>2</v>
      </c>
      <c r="BG36" s="95">
        <v>0</v>
      </c>
      <c r="BH36" s="95">
        <v>1</v>
      </c>
      <c r="BI36" s="63">
        <v>0</v>
      </c>
      <c r="BJ36" s="45"/>
      <c r="BK36" s="298">
        <v>1</v>
      </c>
      <c r="BL36" s="299">
        <v>3</v>
      </c>
      <c r="BM36" s="208">
        <f t="shared" si="59"/>
        <v>58.59375</v>
      </c>
      <c r="BN36" s="281">
        <f t="shared" si="14"/>
        <v>20.5078125</v>
      </c>
      <c r="BO36" s="45"/>
      <c r="BP36" s="170">
        <v>1</v>
      </c>
      <c r="BQ36" s="87">
        <v>495</v>
      </c>
      <c r="BR36" s="95">
        <f t="shared" si="60"/>
        <v>29</v>
      </c>
      <c r="BS36" s="198">
        <f t="shared" si="61"/>
        <v>0.1706896551724138</v>
      </c>
      <c r="BT36" s="208">
        <f t="shared" si="62"/>
        <v>91.208212687549349</v>
      </c>
      <c r="BU36" s="281">
        <f t="shared" si="15"/>
        <v>18.241642537509872</v>
      </c>
    </row>
    <row r="37" spans="2:73" s="3" customFormat="1" ht="9.75" customHeight="1" thickBot="1" x14ac:dyDescent="0.3">
      <c r="B37" s="8"/>
      <c r="C37" s="7"/>
      <c r="D37" s="35"/>
      <c r="E37" s="35"/>
      <c r="F37" s="35"/>
      <c r="G37" s="45"/>
      <c r="H37" s="72"/>
      <c r="I37" s="72"/>
      <c r="J37" s="72"/>
      <c r="K37" s="283"/>
      <c r="L37" s="72"/>
      <c r="M37" s="72"/>
      <c r="N37" s="45"/>
      <c r="O37" s="72"/>
      <c r="P37" s="72"/>
      <c r="Q37" s="72"/>
      <c r="R37" s="72"/>
      <c r="S37" s="45"/>
      <c r="T37" s="72"/>
      <c r="U37" s="72"/>
      <c r="V37" s="72"/>
      <c r="W37" s="72"/>
      <c r="X37" s="72"/>
      <c r="Y37" s="72"/>
      <c r="Z37" s="72"/>
      <c r="AA37" s="72"/>
      <c r="AB37" s="45"/>
      <c r="AC37" s="72"/>
      <c r="AD37" s="72"/>
      <c r="AE37" s="72"/>
      <c r="AF37" s="73"/>
      <c r="AG37" s="74"/>
      <c r="AH37" s="72"/>
      <c r="AI37" s="72"/>
      <c r="AJ37" s="45"/>
      <c r="AK37" s="72"/>
      <c r="AL37" s="72"/>
      <c r="AM37" s="72"/>
      <c r="AN37" s="72"/>
      <c r="AO37" s="45"/>
      <c r="AP37" s="72"/>
      <c r="AQ37" s="72"/>
      <c r="AR37" s="72"/>
      <c r="AS37" s="72"/>
      <c r="AT37" s="72"/>
      <c r="AU37" s="72"/>
      <c r="AV37" s="45"/>
      <c r="AW37" s="74"/>
      <c r="AX37" s="72"/>
      <c r="AY37" s="72"/>
      <c r="AZ37" s="72"/>
      <c r="BA37" s="72"/>
      <c r="BB37" s="72"/>
      <c r="BC37" s="72"/>
      <c r="BD37" s="45"/>
      <c r="BE37" s="72"/>
      <c r="BF37" s="72"/>
      <c r="BG37" s="72"/>
      <c r="BH37" s="72"/>
      <c r="BI37" s="72"/>
      <c r="BJ37" s="45"/>
      <c r="BK37" s="292"/>
      <c r="BL37" s="290"/>
      <c r="BM37" s="72"/>
      <c r="BN37" s="72"/>
      <c r="BO37" s="45"/>
      <c r="BP37" s="72"/>
      <c r="BQ37" s="72"/>
      <c r="BR37" s="72"/>
      <c r="BS37" s="72"/>
      <c r="BT37" s="72"/>
      <c r="BU37" s="72"/>
    </row>
    <row r="38" spans="2:73" s="5" customFormat="1" ht="15.75" thickBot="1" x14ac:dyDescent="0.3">
      <c r="B38" s="205">
        <v>510</v>
      </c>
      <c r="C38" s="31" t="s">
        <v>96</v>
      </c>
      <c r="D38" s="464">
        <v>48000</v>
      </c>
      <c r="E38" s="465"/>
      <c r="F38" s="248">
        <f>SUM(D38:E38)</f>
        <v>48000</v>
      </c>
      <c r="G38" s="121"/>
      <c r="H38" s="492" t="s">
        <v>57</v>
      </c>
      <c r="I38" s="79" t="s">
        <v>57</v>
      </c>
      <c r="J38" s="79" t="s">
        <v>57</v>
      </c>
      <c r="K38" s="443" t="s">
        <v>57</v>
      </c>
      <c r="L38" s="444" t="s">
        <v>57</v>
      </c>
      <c r="M38" s="79" t="s">
        <v>57</v>
      </c>
      <c r="N38" s="121"/>
      <c r="O38" s="140"/>
      <c r="P38" s="150" t="s">
        <v>57</v>
      </c>
      <c r="Q38" s="150" t="s">
        <v>57</v>
      </c>
      <c r="R38" s="275">
        <f>O38</f>
        <v>0</v>
      </c>
      <c r="S38" s="121"/>
      <c r="T38" s="324">
        <f>SUM(T11:T14,T17:T17,T20:T28,T31:T36)</f>
        <v>1202.3385940520518</v>
      </c>
      <c r="U38" s="325" t="s">
        <v>57</v>
      </c>
      <c r="V38" s="326">
        <f>SUM(V11:V14,V17:V17,V20:V28,V31:V36)</f>
        <v>134330.71241282875</v>
      </c>
      <c r="W38" s="327">
        <f>V38/$V$38</f>
        <v>1</v>
      </c>
      <c r="X38" s="328">
        <v>48000</v>
      </c>
      <c r="Y38" s="150" t="s">
        <v>57</v>
      </c>
      <c r="Z38" s="150" t="s">
        <v>57</v>
      </c>
      <c r="AA38" s="275">
        <f>X38</f>
        <v>48000</v>
      </c>
      <c r="AB38" s="132"/>
      <c r="AC38" s="128">
        <f>SUM(AC11:AC14,AC17:AC17,AC20:AC28,AC31:AC36)</f>
        <v>2191</v>
      </c>
      <c r="AD38" s="75">
        <f>SUM(AD11:AD14,AD17:AD17,AD20:AD28,AD31:AD36)</f>
        <v>2173</v>
      </c>
      <c r="AE38" s="473" t="s">
        <v>57</v>
      </c>
      <c r="AF38" s="111">
        <f>SUM(AF11:AF14,AF17:AF17,AF20:AF28,AF31:AF36)</f>
        <v>18</v>
      </c>
      <c r="AG38" s="76">
        <f>SUM(AG11:AG14,AG17:AG17,AG20:AG28,AG31:AG36)</f>
        <v>542</v>
      </c>
      <c r="AH38" s="77">
        <f>SUM(AH11:AH14,AH17:AH17,AH20:AH28,AH31:AH36)</f>
        <v>297</v>
      </c>
      <c r="AI38" s="78">
        <f>SUM(AI11:AI14,AI17:AI17,AI20:AI28,AI31:AI36)</f>
        <v>1352</v>
      </c>
      <c r="AJ38" s="132"/>
      <c r="AK38" s="172">
        <f>SUM(AK11:AK14,AK17:AK17,AK20:AK28,AK31:AK36)</f>
        <v>2152</v>
      </c>
      <c r="AL38" s="178">
        <f>SUM(AL11:AL14,AL17:AL17,AL20:AL28,AL31:AL36)</f>
        <v>2191</v>
      </c>
      <c r="AM38" s="179">
        <f>SUM(AM11:AM14,AM17:AM17,AM20:AM28,AM31:AM36)</f>
        <v>39</v>
      </c>
      <c r="AN38" s="288">
        <f>AM38/AK38</f>
        <v>1.812267657992565E-2</v>
      </c>
      <c r="AO38" s="132"/>
      <c r="AP38" s="172">
        <f>SUM(AP11:AP14,AP17:AP17,AP20:AP28,AP31:AP36)</f>
        <v>1337</v>
      </c>
      <c r="AQ38" s="178">
        <f>SUM(AQ11:AQ14,AQ17:AQ17,AQ20:AQ28,AQ31:AQ36)</f>
        <v>1352</v>
      </c>
      <c r="AR38" s="179">
        <f>SUM(AR11:AR14,AR17:AR17,AR20:AR28,AR31:AR36)</f>
        <v>15</v>
      </c>
      <c r="AS38" s="190">
        <f>AR38/AP38</f>
        <v>1.1219147344801795E-2</v>
      </c>
      <c r="AT38" s="209" t="s">
        <v>57</v>
      </c>
      <c r="AU38" s="210" t="s">
        <v>57</v>
      </c>
      <c r="AV38" s="132"/>
      <c r="AW38" s="186">
        <f>SUM(AW11:AW14,AW17:AW17,AW20:AW28,AW31:AW36)</f>
        <v>86</v>
      </c>
      <c r="AX38" s="77">
        <f>SUM(AX11:AX14,AX17:AX17,AX20:AX28,AX31:AX36)</f>
        <v>7</v>
      </c>
      <c r="AY38" s="89">
        <f>SUM(AY11:AY14,AY17:AY17,AY20:AY28,AY31:AY36)</f>
        <v>42</v>
      </c>
      <c r="AZ38" s="78">
        <f>SUM(AZ11:AZ14,AZ17:AZ17,AZ20:AZ28,AZ31:AZ36)</f>
        <v>20</v>
      </c>
      <c r="BA38" s="193">
        <f>(AW38+AY38)/SUM(AW38:AZ38)</f>
        <v>0.82580645161290323</v>
      </c>
      <c r="BB38" s="217" t="s">
        <v>57</v>
      </c>
      <c r="BC38" s="210" t="s">
        <v>57</v>
      </c>
      <c r="BD38" s="132"/>
      <c r="BE38" s="109">
        <f>SUM(BE11:BE14,BE17:BE17,BE20:BE28,BE31:BE36)</f>
        <v>93</v>
      </c>
      <c r="BF38" s="103">
        <f>SUM(BF11:BF14,BF17:BF17,BF20:BF28,BF31:BF36)</f>
        <v>62</v>
      </c>
      <c r="BG38" s="97">
        <f>SUM(BG11:BG14,BG17:BG17,BG20:BG28,BG31:BG36)</f>
        <v>10</v>
      </c>
      <c r="BH38" s="97">
        <f>SUM(BH11:BH14,BH17:BH17,BH20:BH28,BH31:BH36)</f>
        <v>19</v>
      </c>
      <c r="BI38" s="78">
        <f>SUM(BI11:BI14,BI17:BI17,BI20:BI28,BI31:BI36)</f>
        <v>2</v>
      </c>
      <c r="BJ38" s="132"/>
      <c r="BK38" s="302">
        <f>SUM(BK10,BK16,BK19,BK30)</f>
        <v>251</v>
      </c>
      <c r="BL38" s="303">
        <v>3.82</v>
      </c>
      <c r="BM38" s="209" t="s">
        <v>57</v>
      </c>
      <c r="BN38" s="210" t="s">
        <v>57</v>
      </c>
      <c r="BO38" s="132"/>
      <c r="BP38" s="172">
        <f>SUM(BP11:BP14,BP17:BP17,BP20:BP28,BP31:BP36)</f>
        <v>37</v>
      </c>
      <c r="BQ38" s="89">
        <f>SUM(BQ11:BQ14,BQ17:BQ17,BQ20:BQ28,BQ31:BQ36)</f>
        <v>14866</v>
      </c>
      <c r="BR38" s="97">
        <f>SUM(BR11:BR14,BR17:BR17,BR20:BR28,BR31:BR36)</f>
        <v>1337</v>
      </c>
      <c r="BS38" s="199">
        <f>BQ38/BR38/100</f>
        <v>0.11118922961854899</v>
      </c>
      <c r="BT38" s="209" t="s">
        <v>57</v>
      </c>
      <c r="BU38" s="210" t="s">
        <v>57</v>
      </c>
    </row>
    <row r="39" spans="2:73" ht="15" x14ac:dyDescent="0.25">
      <c r="C39" s="148" t="s">
        <v>97</v>
      </c>
      <c r="D39" s="245">
        <f>R39</f>
        <v>0</v>
      </c>
      <c r="E39" s="246">
        <f>AA39</f>
        <v>0</v>
      </c>
      <c r="F39" s="247">
        <f>SUM(D39:E39)</f>
        <v>0</v>
      </c>
      <c r="H39" s="231"/>
      <c r="I39" s="231"/>
      <c r="J39" s="231"/>
      <c r="O39" s="470">
        <v>0</v>
      </c>
      <c r="P39" s="149">
        <f>ABS(SUM(P11:P14,P17,P20:P28,P31:P36))</f>
        <v>0</v>
      </c>
      <c r="Q39" s="149">
        <f>P39</f>
        <v>0</v>
      </c>
      <c r="R39" s="276">
        <f>O39+ROUND(P39,0)</f>
        <v>0</v>
      </c>
      <c r="T39" s="258"/>
      <c r="U39" s="258"/>
      <c r="V39" s="258"/>
      <c r="W39" s="259"/>
      <c r="X39" s="469"/>
      <c r="Y39" s="149">
        <f>ABS(SUM(Y11:Y14,Y17,Y20:Y28,Y31:Y36))</f>
        <v>0</v>
      </c>
      <c r="Z39" s="149">
        <f>X39+Y39</f>
        <v>0</v>
      </c>
      <c r="AA39" s="276">
        <f>X39+ROUND(Y39,0)</f>
        <v>0</v>
      </c>
      <c r="AB39" s="114"/>
      <c r="AC39" s="114"/>
      <c r="AJ39" s="114"/>
      <c r="AK39" s="114"/>
      <c r="AL39" s="114"/>
      <c r="AM39" s="114"/>
      <c r="AN39" s="114"/>
      <c r="AO39" s="114"/>
      <c r="AV39" s="114"/>
      <c r="BD39" s="114"/>
      <c r="BJ39" s="114"/>
      <c r="BO39" s="114"/>
    </row>
    <row r="40" spans="2:73" ht="15" x14ac:dyDescent="0.25">
      <c r="C40" s="37" t="s">
        <v>98</v>
      </c>
      <c r="D40" s="249">
        <f>R40</f>
        <v>0</v>
      </c>
      <c r="E40" s="250">
        <f>AA40</f>
        <v>0</v>
      </c>
      <c r="F40" s="251">
        <f>SUM(D40:E40)</f>
        <v>0</v>
      </c>
      <c r="H40" s="151"/>
      <c r="I40" s="151"/>
      <c r="J40" s="151"/>
      <c r="O40" s="146">
        <v>0</v>
      </c>
      <c r="P40" s="147" t="s">
        <v>57</v>
      </c>
      <c r="Q40" s="147" t="s">
        <v>57</v>
      </c>
      <c r="R40" s="277">
        <f>(O38-R39)-R41</f>
        <v>0</v>
      </c>
      <c r="T40" s="260"/>
      <c r="U40" s="260"/>
      <c r="V40" s="260"/>
      <c r="W40" s="261"/>
      <c r="X40" s="321">
        <v>0</v>
      </c>
      <c r="Y40" s="147" t="s">
        <v>57</v>
      </c>
      <c r="Z40" s="147" t="s">
        <v>57</v>
      </c>
      <c r="AA40" s="277">
        <f>(X38-AA39)-AA41</f>
        <v>0</v>
      </c>
      <c r="AB40" s="114"/>
      <c r="AC40" s="114"/>
      <c r="AJ40" s="114"/>
      <c r="AK40" s="114"/>
      <c r="AL40" s="114"/>
      <c r="AM40" s="114"/>
      <c r="AN40" s="114"/>
      <c r="AO40" s="114"/>
      <c r="AV40" s="114"/>
      <c r="BD40" s="114"/>
      <c r="BJ40" s="114"/>
      <c r="BO40" s="114"/>
    </row>
    <row r="41" spans="2:73" ht="15.75" thickBot="1" x14ac:dyDescent="0.3">
      <c r="C41" s="38" t="s">
        <v>99</v>
      </c>
      <c r="D41" s="242">
        <f>SUM(D11:D14,D17,D20:D28,D31:D36)</f>
        <v>0</v>
      </c>
      <c r="E41" s="243">
        <f>SUM(E11:E14,E17,E20:E28,E31:E36)</f>
        <v>48000</v>
      </c>
      <c r="F41" s="244">
        <f>SUM(D41:E41)</f>
        <v>48000</v>
      </c>
      <c r="H41" s="151"/>
      <c r="I41" s="151"/>
      <c r="J41" s="151"/>
      <c r="O41" s="144">
        <f>O38-O39</f>
        <v>0</v>
      </c>
      <c r="P41" s="145" t="s">
        <v>57</v>
      </c>
      <c r="Q41" s="145" t="s">
        <v>57</v>
      </c>
      <c r="R41" s="278">
        <f>SUM(R11:R14,R17,R20:R28,R31:R36)</f>
        <v>0</v>
      </c>
      <c r="T41" s="262"/>
      <c r="U41" s="262"/>
      <c r="V41" s="262"/>
      <c r="W41" s="263"/>
      <c r="X41" s="322">
        <f>X38-X39</f>
        <v>48000</v>
      </c>
      <c r="Y41" s="323" t="s">
        <v>57</v>
      </c>
      <c r="Z41" s="323" t="s">
        <v>57</v>
      </c>
      <c r="AA41" s="278">
        <f>SUM(AA11:AA14,AA17,AA20:AA28,AA31:AA36)</f>
        <v>48000</v>
      </c>
    </row>
    <row r="42" spans="2:73" x14ac:dyDescent="0.2">
      <c r="C42" s="133" t="s">
        <v>100</v>
      </c>
      <c r="D42" s="134">
        <f>SUM(D39:D41)</f>
        <v>0</v>
      </c>
      <c r="E42" s="134">
        <f t="shared" ref="E42" si="75">SUM(E39:E41)</f>
        <v>48000</v>
      </c>
      <c r="F42" s="134">
        <f>SUM(F39:F41)</f>
        <v>48000</v>
      </c>
      <c r="O42" s="134">
        <f>SUM(O11:O14,O17,O20:O28,O31:O36)+O39</f>
        <v>0</v>
      </c>
      <c r="R42" s="134">
        <f>SUM(R39:R41)</f>
        <v>0</v>
      </c>
      <c r="T42" s="134"/>
      <c r="U42" s="134"/>
      <c r="V42" s="134"/>
      <c r="W42" s="134"/>
      <c r="X42" s="134">
        <f>SUM(X11:X14,X17:X17,X20:X28,X31:X36)+X39</f>
        <v>48000</v>
      </c>
      <c r="AA42" s="134">
        <f>SUM(AA39:AA41)</f>
        <v>48000</v>
      </c>
    </row>
    <row r="43" spans="2:73" x14ac:dyDescent="0.2">
      <c r="AC43" s="139"/>
    </row>
  </sheetData>
  <mergeCells count="14">
    <mergeCell ref="T7:AA7"/>
    <mergeCell ref="K4:M4"/>
    <mergeCell ref="E5:F5"/>
    <mergeCell ref="D7:F7"/>
    <mergeCell ref="H7:I7"/>
    <mergeCell ref="K7:L7"/>
    <mergeCell ref="BK7:BN7"/>
    <mergeCell ref="BP7:BU7"/>
    <mergeCell ref="AC7:AF7"/>
    <mergeCell ref="AG7:AI7"/>
    <mergeCell ref="AK7:AN7"/>
    <mergeCell ref="AP7:AU7"/>
    <mergeCell ref="AW7:BC7"/>
    <mergeCell ref="BE7:BI7"/>
  </mergeCells>
  <conditionalFormatting sqref="AX11:AX14 AZ11:AZ14 AX17 AZ17 AX20:AX28 AZ20:AZ28 AX31:AX36 AZ31:AZ36">
    <cfRule type="cellIs" dxfId="0" priority="1" operator="greaterThan">
      <formula>0</formula>
    </cfRule>
  </conditionalFormatting>
  <pageMargins left="0.23622047244094491" right="0.23622047244094491" top="0.39370078740157483" bottom="0.51181102362204722" header="0.51181102362204722" footer="0.51181102362204722"/>
  <pageSetup paperSize="9" scale="58" orientation="landscape" r:id="rId1"/>
  <headerFooter alignWithMargins="0"/>
  <colBreaks count="3" manualBreakCount="3">
    <brk id="14" max="42" man="1"/>
    <brk id="28" max="45" man="1"/>
    <brk id="55" max="4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Rozdělení dotací 2014</vt:lpstr>
      <vt:lpstr>Mimořádná nadstavba 2014</vt:lpstr>
      <vt:lpstr>'Mimořádná nadstavba 2014'!Oblast_tisku</vt:lpstr>
      <vt:lpstr>'Rozdělení dotací 2014'!Oblast_tisku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Peřina - Jerry</dc:creator>
  <cp:lastModifiedBy>HP</cp:lastModifiedBy>
  <dcterms:created xsi:type="dcterms:W3CDTF">2007-05-30T13:55:11Z</dcterms:created>
  <dcterms:modified xsi:type="dcterms:W3CDTF">2014-09-26T05:41:26Z</dcterms:modified>
</cp:coreProperties>
</file>