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Downloads\"/>
    </mc:Choice>
  </mc:AlternateContent>
  <bookViews>
    <workbookView xWindow="-15" yWindow="45" windowWidth="9720" windowHeight="8595"/>
  </bookViews>
  <sheets>
    <sheet name="Rozdělení dotací 2012" sheetId="1" r:id="rId1"/>
  </sheets>
  <definedNames>
    <definedName name="_xlnm.Print_Area" localSheetId="0">'Rozdělení dotací 2012'!$A$1:$BZ$43</definedName>
  </definedNames>
  <calcPr calcId="162913"/>
</workbook>
</file>

<file path=xl/calcChain.xml><?xml version="1.0" encoding="utf-8"?>
<calcChain xmlns="http://schemas.openxmlformats.org/spreadsheetml/2006/main">
  <c r="BE22" i="1" l="1"/>
  <c r="BE34" i="1" l="1"/>
  <c r="BK29" i="1" l="1"/>
  <c r="BE27" i="1"/>
  <c r="BE28" i="1"/>
  <c r="BE17" i="1"/>
  <c r="BE21" i="1"/>
  <c r="BE11" i="1"/>
  <c r="BE14" i="1"/>
  <c r="BE13" i="1"/>
  <c r="BV16" i="1" l="1"/>
  <c r="BX21" i="1"/>
  <c r="AI21" i="1" l="1"/>
  <c r="AW33" i="1"/>
  <c r="AW34" i="1"/>
  <c r="AW35" i="1"/>
  <c r="AW36" i="1"/>
  <c r="AW37" i="1"/>
  <c r="AW32" i="1"/>
  <c r="AW23" i="1"/>
  <c r="AW24" i="1"/>
  <c r="AW25" i="1"/>
  <c r="AW26" i="1"/>
  <c r="AW27" i="1"/>
  <c r="AW28" i="1"/>
  <c r="AW29" i="1"/>
  <c r="AW22" i="1"/>
  <c r="AW21" i="1"/>
  <c r="AW18" i="1"/>
  <c r="AW12" i="1"/>
  <c r="AW13" i="1"/>
  <c r="AW14" i="1"/>
  <c r="AI17" i="1"/>
  <c r="AW11" i="1"/>
  <c r="AV39" i="1" l="1"/>
  <c r="AV16" i="1"/>
  <c r="I14" i="1" l="1"/>
  <c r="I27" i="1"/>
  <c r="AI32" i="1" l="1"/>
  <c r="AO16" i="1"/>
  <c r="BR33" i="1"/>
  <c r="BR34" i="1"/>
  <c r="BR35" i="1"/>
  <c r="BR36" i="1"/>
  <c r="BR37" i="1"/>
  <c r="BR32" i="1"/>
  <c r="BR22" i="1"/>
  <c r="BR23" i="1"/>
  <c r="BR24" i="1"/>
  <c r="BR25" i="1"/>
  <c r="BR26" i="1"/>
  <c r="BR27" i="1"/>
  <c r="BR28" i="1"/>
  <c r="BR29" i="1"/>
  <c r="BR21" i="1"/>
  <c r="BR18" i="1"/>
  <c r="BR17" i="1"/>
  <c r="BR12" i="1"/>
  <c r="BR13" i="1"/>
  <c r="BR14" i="1"/>
  <c r="BR11" i="1"/>
  <c r="BP31" i="1"/>
  <c r="BP20" i="1"/>
  <c r="BP10" i="1"/>
  <c r="BP16" i="1"/>
  <c r="BE33" i="1"/>
  <c r="BE35" i="1"/>
  <c r="BE36" i="1"/>
  <c r="BE37" i="1"/>
  <c r="BE32" i="1"/>
  <c r="BE23" i="1"/>
  <c r="BE24" i="1"/>
  <c r="BE25" i="1"/>
  <c r="BE26" i="1"/>
  <c r="BE29" i="1"/>
  <c r="BE18" i="1"/>
  <c r="BE12" i="1"/>
  <c r="BP39" i="1" l="1"/>
  <c r="AV31" i="1"/>
  <c r="AQ31" i="1"/>
  <c r="AQ16" i="1"/>
  <c r="AQ39" i="1" l="1"/>
  <c r="AI33" i="1" l="1"/>
  <c r="AR33" i="1" s="1"/>
  <c r="AS33" i="1" s="1"/>
  <c r="AT33" i="1" s="1"/>
  <c r="AI34" i="1"/>
  <c r="AR34" i="1" s="1"/>
  <c r="AS34" i="1" s="1"/>
  <c r="AT34" i="1" s="1"/>
  <c r="AI35" i="1"/>
  <c r="AR35" i="1" s="1"/>
  <c r="AS35" i="1" s="1"/>
  <c r="AT35" i="1" s="1"/>
  <c r="AI36" i="1"/>
  <c r="AR36" i="1" s="1"/>
  <c r="AS36" i="1" s="1"/>
  <c r="AT36" i="1" s="1"/>
  <c r="AI37" i="1"/>
  <c r="AR37" i="1" s="1"/>
  <c r="AS37" i="1" s="1"/>
  <c r="AT37" i="1" s="1"/>
  <c r="AR32" i="1"/>
  <c r="AI22" i="1"/>
  <c r="AR22" i="1" s="1"/>
  <c r="AS22" i="1" s="1"/>
  <c r="AT22" i="1" s="1"/>
  <c r="AI23" i="1"/>
  <c r="AR23" i="1" s="1"/>
  <c r="AS23" i="1" s="1"/>
  <c r="AT23" i="1" s="1"/>
  <c r="AI24" i="1"/>
  <c r="AR24" i="1" s="1"/>
  <c r="AS24" i="1" s="1"/>
  <c r="AT24" i="1" s="1"/>
  <c r="AI25" i="1"/>
  <c r="AR25" i="1" s="1"/>
  <c r="AS25" i="1" s="1"/>
  <c r="AT25" i="1" s="1"/>
  <c r="AI26" i="1"/>
  <c r="AR26" i="1" s="1"/>
  <c r="AS26" i="1" s="1"/>
  <c r="AT26" i="1" s="1"/>
  <c r="AI27" i="1"/>
  <c r="AR27" i="1" s="1"/>
  <c r="AS27" i="1" s="1"/>
  <c r="AT27" i="1" s="1"/>
  <c r="AI28" i="1"/>
  <c r="AR28" i="1" s="1"/>
  <c r="AS28" i="1" s="1"/>
  <c r="AT28" i="1" s="1"/>
  <c r="AI29" i="1"/>
  <c r="AR21" i="1"/>
  <c r="AS21" i="1" s="1"/>
  <c r="AT21" i="1" s="1"/>
  <c r="AI18" i="1"/>
  <c r="AR18" i="1" s="1"/>
  <c r="AS18" i="1" s="1"/>
  <c r="AT18" i="1" s="1"/>
  <c r="AR17" i="1"/>
  <c r="AI13" i="1"/>
  <c r="AI14" i="1"/>
  <c r="AR14" i="1" s="1"/>
  <c r="AS14" i="1" s="1"/>
  <c r="AT14" i="1" s="1"/>
  <c r="AI12" i="1"/>
  <c r="AR12" i="1" s="1"/>
  <c r="AS12" i="1" s="1"/>
  <c r="AT12" i="1" s="1"/>
  <c r="AI11" i="1"/>
  <c r="AR11" i="1" s="1"/>
  <c r="BW10" i="1"/>
  <c r="BW20" i="1"/>
  <c r="AD39" i="1"/>
  <c r="U39" i="1"/>
  <c r="BW31" i="1"/>
  <c r="BW16" i="1"/>
  <c r="AR13" i="1" l="1"/>
  <c r="AS13" i="1" s="1"/>
  <c r="AT13" i="1" s="1"/>
  <c r="AD42" i="1"/>
  <c r="AG39" i="1"/>
  <c r="AR29" i="1"/>
  <c r="AS29" i="1" s="1"/>
  <c r="AI39" i="1"/>
  <c r="AR16" i="1"/>
  <c r="AS17" i="1"/>
  <c r="AR39" i="1"/>
  <c r="AS11" i="1"/>
  <c r="AT11" i="1" s="1"/>
  <c r="AR31" i="1"/>
  <c r="AS32" i="1"/>
  <c r="AI16" i="1"/>
  <c r="F39" i="1"/>
  <c r="X39" i="1"/>
  <c r="BS12" i="1"/>
  <c r="BS13" i="1"/>
  <c r="BS14" i="1"/>
  <c r="BS17" i="1"/>
  <c r="BS18" i="1"/>
  <c r="BS21" i="1"/>
  <c r="BS22" i="1"/>
  <c r="BS23" i="1"/>
  <c r="BS24" i="1"/>
  <c r="BS25" i="1"/>
  <c r="BS26" i="1"/>
  <c r="BS27" i="1"/>
  <c r="BS28" i="1"/>
  <c r="BS29" i="1"/>
  <c r="BS32" i="1"/>
  <c r="BS33" i="1"/>
  <c r="BS34" i="1"/>
  <c r="BS35" i="1"/>
  <c r="BS36" i="1"/>
  <c r="BS37" i="1"/>
  <c r="BS11" i="1"/>
  <c r="BU31" i="1"/>
  <c r="BU16" i="1"/>
  <c r="BX32" i="1"/>
  <c r="BX33" i="1"/>
  <c r="BX34" i="1"/>
  <c r="BX35" i="1"/>
  <c r="BX36" i="1"/>
  <c r="BX37" i="1"/>
  <c r="BX23" i="1"/>
  <c r="BX24" i="1"/>
  <c r="BX25" i="1"/>
  <c r="BX26" i="1"/>
  <c r="BX27" i="1"/>
  <c r="BX28" i="1"/>
  <c r="BX18" i="1"/>
  <c r="BX14" i="1"/>
  <c r="BX13" i="1"/>
  <c r="BX12" i="1"/>
  <c r="BX11" i="1"/>
  <c r="BV31" i="1"/>
  <c r="BX22" i="1"/>
  <c r="BU39" i="1"/>
  <c r="AS39" i="1" l="1"/>
  <c r="AT39" i="1" s="1"/>
  <c r="AS31" i="1"/>
  <c r="AT31" i="1" s="1"/>
  <c r="AT32" i="1"/>
  <c r="AT17" i="1"/>
  <c r="AS16" i="1"/>
  <c r="AT16" i="1" s="1"/>
  <c r="BV39" i="1"/>
  <c r="BX17" i="1"/>
  <c r="BY17" i="1" s="1"/>
  <c r="BZ17" i="1" s="1"/>
  <c r="BX31" i="1"/>
  <c r="BW39" i="1"/>
  <c r="BX39" i="1" s="1"/>
  <c r="BY29" i="1" l="1"/>
  <c r="BZ29" i="1" s="1"/>
  <c r="BY34" i="1"/>
  <c r="BZ34" i="1" s="1"/>
  <c r="BY26" i="1"/>
  <c r="BZ26" i="1" s="1"/>
  <c r="BY18" i="1"/>
  <c r="BZ18" i="1" s="1"/>
  <c r="BY11" i="1"/>
  <c r="BZ11" i="1" s="1"/>
  <c r="BY33" i="1"/>
  <c r="BZ33" i="1" s="1"/>
  <c r="BY37" i="1"/>
  <c r="BZ37" i="1" s="1"/>
  <c r="BY25" i="1"/>
  <c r="BZ25" i="1" s="1"/>
  <c r="BY21" i="1"/>
  <c r="BZ21" i="1" s="1"/>
  <c r="BY12" i="1"/>
  <c r="BZ12" i="1" s="1"/>
  <c r="BY32" i="1"/>
  <c r="BZ32" i="1" s="1"/>
  <c r="BY36" i="1"/>
  <c r="BZ36" i="1" s="1"/>
  <c r="BY24" i="1"/>
  <c r="BZ24" i="1" s="1"/>
  <c r="BY28" i="1"/>
  <c r="BZ28" i="1" s="1"/>
  <c r="BY13" i="1"/>
  <c r="BZ13" i="1" s="1"/>
  <c r="BY22" i="1"/>
  <c r="BZ22" i="1" s="1"/>
  <c r="BY35" i="1"/>
  <c r="BZ35" i="1" s="1"/>
  <c r="BY23" i="1"/>
  <c r="BZ23" i="1" s="1"/>
  <c r="BY27" i="1"/>
  <c r="BZ27" i="1" s="1"/>
  <c r="BY14" i="1"/>
  <c r="BZ14" i="1" s="1"/>
  <c r="BX16" i="1"/>
  <c r="BN39" i="1"/>
  <c r="BM39" i="1"/>
  <c r="BL39" i="1"/>
  <c r="AL39" i="1"/>
  <c r="AK39" i="1"/>
  <c r="AJ39" i="1"/>
  <c r="AL31" i="1"/>
  <c r="AK31" i="1"/>
  <c r="AJ31" i="1"/>
  <c r="AI31" i="1"/>
  <c r="AX22" i="1" l="1"/>
  <c r="AY22" i="1" s="1"/>
  <c r="S31" i="1"/>
  <c r="S29" i="1"/>
  <c r="S28" i="1"/>
  <c r="S27" i="1"/>
  <c r="S26" i="1"/>
  <c r="S25" i="1"/>
  <c r="S24" i="1"/>
  <c r="S23" i="1"/>
  <c r="S22" i="1"/>
  <c r="S21" i="1"/>
  <c r="S16" i="1"/>
  <c r="S14" i="1"/>
  <c r="S13" i="1"/>
  <c r="S12" i="1"/>
  <c r="S11" i="1"/>
  <c r="AX33" i="1" l="1"/>
  <c r="AY33" i="1" s="1"/>
  <c r="AX37" i="1"/>
  <c r="AY37" i="1" s="1"/>
  <c r="AX36" i="1"/>
  <c r="AY36" i="1" s="1"/>
  <c r="AX35" i="1"/>
  <c r="AY35" i="1" s="1"/>
  <c r="AX34" i="1"/>
  <c r="AY34" i="1" s="1"/>
  <c r="BF31" i="1"/>
  <c r="BE31" i="1"/>
  <c r="BD31" i="1"/>
  <c r="AX18" i="1"/>
  <c r="AY18" i="1" s="1"/>
  <c r="AW16" i="1"/>
  <c r="BF16" i="1"/>
  <c r="BE16" i="1"/>
  <c r="BD16" i="1"/>
  <c r="AL16" i="1"/>
  <c r="AK16" i="1"/>
  <c r="AJ16" i="1"/>
  <c r="AX13" i="1"/>
  <c r="AY13" i="1" s="1"/>
  <c r="AX12" i="1"/>
  <c r="AY12" i="1" s="1"/>
  <c r="BK14" i="1"/>
  <c r="BC14" i="1" s="1"/>
  <c r="BG14" i="1" s="1"/>
  <c r="BK23" i="1"/>
  <c r="BC23" i="1" s="1"/>
  <c r="BG23" i="1" s="1"/>
  <c r="AX14" i="1"/>
  <c r="AY14" i="1" s="1"/>
  <c r="AX23" i="1"/>
  <c r="AY23" i="1" s="1"/>
  <c r="BK26" i="1"/>
  <c r="BC26" i="1" s="1"/>
  <c r="BG26" i="1" s="1"/>
  <c r="AX26" i="1"/>
  <c r="AY26" i="1" s="1"/>
  <c r="AX27" i="1"/>
  <c r="AY27" i="1" s="1"/>
  <c r="U42" i="1"/>
  <c r="BK37" i="1"/>
  <c r="BC37" i="1" s="1"/>
  <c r="BG37" i="1" s="1"/>
  <c r="BK36" i="1"/>
  <c r="BC36" i="1" s="1"/>
  <c r="BG36" i="1" s="1"/>
  <c r="BK35" i="1"/>
  <c r="BC35" i="1" s="1"/>
  <c r="BG35" i="1" s="1"/>
  <c r="BK34" i="1"/>
  <c r="BC34" i="1" s="1"/>
  <c r="BG34" i="1" s="1"/>
  <c r="BK33" i="1"/>
  <c r="BC33" i="1" s="1"/>
  <c r="BG33" i="1" s="1"/>
  <c r="BK32" i="1"/>
  <c r="BC32" i="1" s="1"/>
  <c r="BG32" i="1" s="1"/>
  <c r="BC29" i="1"/>
  <c r="BG29" i="1" s="1"/>
  <c r="BK28" i="1"/>
  <c r="BC28" i="1" s="1"/>
  <c r="BG28" i="1" s="1"/>
  <c r="BK27" i="1"/>
  <c r="BK25" i="1"/>
  <c r="BC25" i="1" s="1"/>
  <c r="BG25" i="1" s="1"/>
  <c r="BK24" i="1"/>
  <c r="BC24" i="1" s="1"/>
  <c r="BG24" i="1" s="1"/>
  <c r="BK22" i="1"/>
  <c r="BC22" i="1" s="1"/>
  <c r="BG22" i="1" s="1"/>
  <c r="BK18" i="1"/>
  <c r="BC18" i="1" s="1"/>
  <c r="BG18" i="1" s="1"/>
  <c r="BK17" i="1"/>
  <c r="BC17" i="1" s="1"/>
  <c r="BG17" i="1" s="1"/>
  <c r="BK13" i="1"/>
  <c r="BC13" i="1" s="1"/>
  <c r="BG13" i="1" s="1"/>
  <c r="BK12" i="1"/>
  <c r="BC12" i="1" s="1"/>
  <c r="BG12" i="1" s="1"/>
  <c r="BK11" i="1"/>
  <c r="BK21" i="1"/>
  <c r="AX28" i="1"/>
  <c r="AY28" i="1" s="1"/>
  <c r="AX21" i="1"/>
  <c r="AY21" i="1" s="1"/>
  <c r="AX25" i="1"/>
  <c r="AY25" i="1" s="1"/>
  <c r="AX29" i="1"/>
  <c r="AX24" i="1"/>
  <c r="AY24" i="1" s="1"/>
  <c r="BC21" i="1" l="1"/>
  <c r="BG21" i="1" s="1"/>
  <c r="BC11" i="1"/>
  <c r="BG11" i="1" s="1"/>
  <c r="BC27" i="1"/>
  <c r="BG27" i="1" s="1"/>
  <c r="AX32" i="1"/>
  <c r="AY32" i="1" s="1"/>
  <c r="AW31" i="1"/>
  <c r="BC16" i="1"/>
  <c r="BG16" i="1" s="1"/>
  <c r="AW39" i="1"/>
  <c r="AX17" i="1"/>
  <c r="AY17" i="1" s="1"/>
  <c r="AX11" i="1"/>
  <c r="AN31" i="1"/>
  <c r="BC31" i="1"/>
  <c r="BG31" i="1" s="1"/>
  <c r="AN39" i="1"/>
  <c r="BE39" i="1"/>
  <c r="AX31" i="1"/>
  <c r="AY31" i="1" s="1"/>
  <c r="BD39" i="1"/>
  <c r="BF39" i="1"/>
  <c r="BK39" i="1"/>
  <c r="AM16" i="1"/>
  <c r="AO31" i="1"/>
  <c r="AM31" i="1"/>
  <c r="AN16" i="1"/>
  <c r="AO39" i="1"/>
  <c r="AM39" i="1"/>
  <c r="BC39" i="1" l="1"/>
  <c r="BG39" i="1" s="1"/>
  <c r="AX16" i="1"/>
  <c r="AY16" i="1" s="1"/>
  <c r="AX39" i="1"/>
  <c r="AY39" i="1" s="1"/>
  <c r="AY11" i="1"/>
  <c r="AZ17" i="1" s="1"/>
  <c r="BA17" i="1" s="1"/>
  <c r="BH32" i="1"/>
  <c r="BI32" i="1" s="1"/>
  <c r="BH11" i="1"/>
  <c r="BI11" i="1" s="1"/>
  <c r="BH21" i="1"/>
  <c r="BI21" i="1" s="1"/>
  <c r="BH22" i="1"/>
  <c r="BI22" i="1" s="1"/>
  <c r="BH23" i="1"/>
  <c r="BI23" i="1" s="1"/>
  <c r="BH34" i="1"/>
  <c r="BI34" i="1" s="1"/>
  <c r="BH12" i="1"/>
  <c r="BI12" i="1" s="1"/>
  <c r="BH14" i="1"/>
  <c r="BI14" i="1" s="1"/>
  <c r="BH37" i="1"/>
  <c r="BI37" i="1" s="1"/>
  <c r="BH33" i="1"/>
  <c r="BI33" i="1" s="1"/>
  <c r="BH13" i="1"/>
  <c r="BI13" i="1" s="1"/>
  <c r="BH27" i="1"/>
  <c r="BI27" i="1" s="1"/>
  <c r="AZ11" i="1"/>
  <c r="BA11" i="1" s="1"/>
  <c r="AZ22" i="1"/>
  <c r="BA22" i="1" s="1"/>
  <c r="Z22" i="1" s="1"/>
  <c r="AZ34" i="1"/>
  <c r="BA34" i="1" s="1"/>
  <c r="AZ23" i="1"/>
  <c r="BA23" i="1" s="1"/>
  <c r="AZ33" i="1"/>
  <c r="BA33" i="1" s="1"/>
  <c r="AZ12" i="1"/>
  <c r="BA12" i="1" s="1"/>
  <c r="AZ24" i="1"/>
  <c r="BA24" i="1" s="1"/>
  <c r="AZ36" i="1"/>
  <c r="BA36" i="1" s="1"/>
  <c r="AZ25" i="1"/>
  <c r="BA25" i="1" s="1"/>
  <c r="AZ32" i="1"/>
  <c r="BA32" i="1" s="1"/>
  <c r="BH25" i="1"/>
  <c r="BI25" i="1" s="1"/>
  <c r="BH24" i="1"/>
  <c r="BI24" i="1" s="1"/>
  <c r="BH36" i="1"/>
  <c r="BI36" i="1" s="1"/>
  <c r="BH17" i="1"/>
  <c r="BI17" i="1" s="1"/>
  <c r="BH28" i="1"/>
  <c r="BI28" i="1" s="1"/>
  <c r="BH26" i="1"/>
  <c r="BI26" i="1" s="1"/>
  <c r="BH35" i="1"/>
  <c r="BI35" i="1" s="1"/>
  <c r="BH18" i="1"/>
  <c r="BI18" i="1" s="1"/>
  <c r="BH29" i="1"/>
  <c r="BI29" i="1" s="1"/>
  <c r="U5" i="1"/>
  <c r="U29" i="1" s="1"/>
  <c r="V29" i="1" s="1"/>
  <c r="W29" i="1" s="1"/>
  <c r="X29" i="1" s="1"/>
  <c r="D29" i="1" s="1"/>
  <c r="Z33" i="1" l="1"/>
  <c r="AB33" i="1" s="1"/>
  <c r="Z34" i="1"/>
  <c r="AB34" i="1" s="1"/>
  <c r="Z11" i="1"/>
  <c r="AB11" i="1" s="1"/>
  <c r="Z32" i="1"/>
  <c r="AB32" i="1" s="1"/>
  <c r="AZ35" i="1"/>
  <c r="BA35" i="1" s="1"/>
  <c r="Z35" i="1" s="1"/>
  <c r="AZ21" i="1"/>
  <c r="BA21" i="1" s="1"/>
  <c r="Z21" i="1" s="1"/>
  <c r="AB21" i="1" s="1"/>
  <c r="AZ28" i="1"/>
  <c r="BA28" i="1" s="1"/>
  <c r="Z28" i="1" s="1"/>
  <c r="AZ18" i="1"/>
  <c r="BA18" i="1" s="1"/>
  <c r="Z18" i="1" s="1"/>
  <c r="AZ37" i="1"/>
  <c r="BA37" i="1" s="1"/>
  <c r="Z37" i="1" s="1"/>
  <c r="AB37" i="1" s="1"/>
  <c r="AZ27" i="1"/>
  <c r="BA27" i="1" s="1"/>
  <c r="Z27" i="1" s="1"/>
  <c r="AB27" i="1" s="1"/>
  <c r="AZ13" i="1"/>
  <c r="BA13" i="1" s="1"/>
  <c r="Z13" i="1" s="1"/>
  <c r="AB13" i="1" s="1"/>
  <c r="AZ26" i="1"/>
  <c r="BA26" i="1" s="1"/>
  <c r="Z26" i="1" s="1"/>
  <c r="AZ14" i="1"/>
  <c r="BA14" i="1" s="1"/>
  <c r="Z14" i="1" s="1"/>
  <c r="AB14" i="1" s="1"/>
  <c r="AZ29" i="1"/>
  <c r="BA29" i="1" s="1"/>
  <c r="Z29" i="1" s="1"/>
  <c r="Z17" i="1"/>
  <c r="AB17" i="1" s="1"/>
  <c r="Z12" i="1"/>
  <c r="AB12" i="1" s="1"/>
  <c r="Z23" i="1"/>
  <c r="AB23" i="1" s="1"/>
  <c r="AB22" i="1"/>
  <c r="Z25" i="1"/>
  <c r="Z36" i="1"/>
  <c r="Z24" i="1"/>
  <c r="U24" i="1"/>
  <c r="V24" i="1" s="1"/>
  <c r="W24" i="1" s="1"/>
  <c r="X24" i="1" s="1"/>
  <c r="D24" i="1" s="1"/>
  <c r="U13" i="1"/>
  <c r="V13" i="1" s="1"/>
  <c r="W13" i="1" s="1"/>
  <c r="X13" i="1" s="1"/>
  <c r="D13" i="1" s="1"/>
  <c r="U23" i="1"/>
  <c r="U14" i="1"/>
  <c r="V14" i="1" s="1"/>
  <c r="W14" i="1" s="1"/>
  <c r="X14" i="1" s="1"/>
  <c r="D14" i="1" s="1"/>
  <c r="U32" i="1"/>
  <c r="U17" i="1"/>
  <c r="U34" i="1"/>
  <c r="U35" i="1"/>
  <c r="U21" i="1"/>
  <c r="V21" i="1" s="1"/>
  <c r="W21" i="1" s="1"/>
  <c r="X21" i="1" s="1"/>
  <c r="D21" i="1" s="1"/>
  <c r="U25" i="1"/>
  <c r="V25" i="1" s="1"/>
  <c r="W25" i="1" s="1"/>
  <c r="X25" i="1" s="1"/>
  <c r="D25" i="1" s="1"/>
  <c r="U18" i="1"/>
  <c r="U11" i="1"/>
  <c r="V11" i="1" s="1"/>
  <c r="U28" i="1"/>
  <c r="V28" i="1" s="1"/>
  <c r="W28" i="1" s="1"/>
  <c r="X28" i="1" s="1"/>
  <c r="D28" i="1" s="1"/>
  <c r="U37" i="1"/>
  <c r="U33" i="1"/>
  <c r="U27" i="1"/>
  <c r="V27" i="1" s="1"/>
  <c r="W27" i="1" s="1"/>
  <c r="X27" i="1" s="1"/>
  <c r="D27" i="1" s="1"/>
  <c r="U26" i="1"/>
  <c r="V26" i="1" s="1"/>
  <c r="W26" i="1" s="1"/>
  <c r="X26" i="1" s="1"/>
  <c r="D26" i="1" s="1"/>
  <c r="U12" i="1"/>
  <c r="V12" i="1" s="1"/>
  <c r="W12" i="1" s="1"/>
  <c r="X12" i="1" s="1"/>
  <c r="D12" i="1" s="1"/>
  <c r="U36" i="1"/>
  <c r="U22" i="1"/>
  <c r="V22" i="1" s="1"/>
  <c r="W22" i="1" s="1"/>
  <c r="X22" i="1" s="1"/>
  <c r="D22" i="1" s="1"/>
  <c r="V23" i="1"/>
  <c r="W23" i="1" s="1"/>
  <c r="X23" i="1" s="1"/>
  <c r="D23" i="1" s="1"/>
  <c r="AB24" i="1" l="1"/>
  <c r="AB25" i="1"/>
  <c r="AB26" i="1"/>
  <c r="AB28" i="1"/>
  <c r="AB36" i="1"/>
  <c r="AB35" i="1"/>
  <c r="AB18" i="1"/>
  <c r="AB29" i="1"/>
  <c r="Z39" i="1"/>
  <c r="U31" i="1"/>
  <c r="V31" i="1" s="1"/>
  <c r="W31" i="1" s="1"/>
  <c r="X31" i="1" s="1"/>
  <c r="D31" i="1" s="1"/>
  <c r="U16" i="1"/>
  <c r="V16" i="1" s="1"/>
  <c r="W16" i="1" s="1"/>
  <c r="X16" i="1" s="1"/>
  <c r="D16" i="1" s="1"/>
  <c r="W11" i="1"/>
  <c r="X11" i="1" s="1"/>
  <c r="D11" i="1" s="1"/>
  <c r="D42" i="1" l="1"/>
  <c r="AA17" i="1"/>
  <c r="AA21" i="1"/>
  <c r="AA37" i="1"/>
  <c r="AA27" i="1"/>
  <c r="AA13" i="1"/>
  <c r="AA14" i="1"/>
  <c r="AA11" i="1"/>
  <c r="AA32" i="1"/>
  <c r="AA12" i="1"/>
  <c r="AA33" i="1"/>
  <c r="AA23" i="1"/>
  <c r="AA34" i="1"/>
  <c r="AA22" i="1"/>
  <c r="AB39" i="1"/>
  <c r="AC26" i="1" s="1"/>
  <c r="AD26" i="1" s="1"/>
  <c r="AE26" i="1" s="1"/>
  <c r="AF26" i="1" s="1"/>
  <c r="AG26" i="1" s="1"/>
  <c r="E26" i="1" s="1"/>
  <c r="F26" i="1" s="1"/>
  <c r="U43" i="1"/>
  <c r="AA29" i="1"/>
  <c r="AA18" i="1"/>
  <c r="AA35" i="1"/>
  <c r="AA36" i="1"/>
  <c r="AA28" i="1"/>
  <c r="AA26" i="1"/>
  <c r="AA25" i="1"/>
  <c r="AA24" i="1"/>
  <c r="X42" i="1"/>
  <c r="V40" i="1"/>
  <c r="W40" i="1" s="1"/>
  <c r="AC24" i="1" l="1"/>
  <c r="AD24" i="1" s="1"/>
  <c r="AE24" i="1" s="1"/>
  <c r="AF24" i="1" s="1"/>
  <c r="AG24" i="1" s="1"/>
  <c r="E24" i="1" s="1"/>
  <c r="F24" i="1" s="1"/>
  <c r="AC39" i="1"/>
  <c r="AC11" i="1"/>
  <c r="AD11" i="1" s="1"/>
  <c r="AC13" i="1"/>
  <c r="AD13" i="1" s="1"/>
  <c r="AE13" i="1" s="1"/>
  <c r="AF13" i="1" s="1"/>
  <c r="AG13" i="1" s="1"/>
  <c r="E13" i="1" s="1"/>
  <c r="F13" i="1" s="1"/>
  <c r="AC37" i="1"/>
  <c r="AD37" i="1" s="1"/>
  <c r="AE37" i="1" s="1"/>
  <c r="AF37" i="1" s="1"/>
  <c r="AG37" i="1" s="1"/>
  <c r="AC17" i="1"/>
  <c r="AD17" i="1" s="1"/>
  <c r="AE17" i="1" s="1"/>
  <c r="AF17" i="1" s="1"/>
  <c r="AC22" i="1"/>
  <c r="AD22" i="1" s="1"/>
  <c r="AE22" i="1" s="1"/>
  <c r="AF22" i="1" s="1"/>
  <c r="AG22" i="1" s="1"/>
  <c r="E22" i="1" s="1"/>
  <c r="F22" i="1" s="1"/>
  <c r="AC23" i="1"/>
  <c r="AD23" i="1" s="1"/>
  <c r="AE23" i="1" s="1"/>
  <c r="AF23" i="1" s="1"/>
  <c r="AG23" i="1" s="1"/>
  <c r="E23" i="1" s="1"/>
  <c r="F23" i="1" s="1"/>
  <c r="AC12" i="1"/>
  <c r="AD12" i="1" s="1"/>
  <c r="AE12" i="1" s="1"/>
  <c r="AF12" i="1" s="1"/>
  <c r="AG12" i="1" s="1"/>
  <c r="E12" i="1" s="1"/>
  <c r="F12" i="1" s="1"/>
  <c r="AC14" i="1"/>
  <c r="AD14" i="1" s="1"/>
  <c r="AE14" i="1" s="1"/>
  <c r="AF14" i="1" s="1"/>
  <c r="AG14" i="1" s="1"/>
  <c r="E14" i="1" s="1"/>
  <c r="F14" i="1" s="1"/>
  <c r="AC27" i="1"/>
  <c r="AD27" i="1" s="1"/>
  <c r="AE27" i="1" s="1"/>
  <c r="AF27" i="1" s="1"/>
  <c r="AG27" i="1" s="1"/>
  <c r="E27" i="1" s="1"/>
  <c r="F27" i="1" s="1"/>
  <c r="AC21" i="1"/>
  <c r="AD21" i="1" s="1"/>
  <c r="AE21" i="1" s="1"/>
  <c r="AF21" i="1" s="1"/>
  <c r="AG21" i="1" s="1"/>
  <c r="E21" i="1" s="1"/>
  <c r="F21" i="1" s="1"/>
  <c r="AC34" i="1"/>
  <c r="AD34" i="1" s="1"/>
  <c r="AE34" i="1" s="1"/>
  <c r="AF34" i="1" s="1"/>
  <c r="AG34" i="1" s="1"/>
  <c r="AC33" i="1"/>
  <c r="AD33" i="1" s="1"/>
  <c r="AE33" i="1" s="1"/>
  <c r="AF33" i="1" s="1"/>
  <c r="AG33" i="1" s="1"/>
  <c r="AC32" i="1"/>
  <c r="AD32" i="1" s="1"/>
  <c r="AE32" i="1" s="1"/>
  <c r="AF32" i="1" s="1"/>
  <c r="AC35" i="1"/>
  <c r="AD35" i="1" s="1"/>
  <c r="AE35" i="1" s="1"/>
  <c r="AF35" i="1" s="1"/>
  <c r="AG35" i="1" s="1"/>
  <c r="AC29" i="1"/>
  <c r="AD29" i="1" s="1"/>
  <c r="AE29" i="1" s="1"/>
  <c r="AF29" i="1" s="1"/>
  <c r="AG29" i="1" s="1"/>
  <c r="E29" i="1" s="1"/>
  <c r="F29" i="1" s="1"/>
  <c r="AC25" i="1"/>
  <c r="AD25" i="1" s="1"/>
  <c r="AE25" i="1" s="1"/>
  <c r="AF25" i="1" s="1"/>
  <c r="AG25" i="1" s="1"/>
  <c r="E25" i="1" s="1"/>
  <c r="F25" i="1" s="1"/>
  <c r="AC28" i="1"/>
  <c r="AD28" i="1" s="1"/>
  <c r="AE28" i="1" s="1"/>
  <c r="AF28" i="1" s="1"/>
  <c r="AG28" i="1" s="1"/>
  <c r="E28" i="1" s="1"/>
  <c r="F28" i="1" s="1"/>
  <c r="AC36" i="1"/>
  <c r="AD36" i="1" s="1"/>
  <c r="AE36" i="1" s="1"/>
  <c r="AF36" i="1" s="1"/>
  <c r="AG36" i="1" s="1"/>
  <c r="AC18" i="1"/>
  <c r="AD18" i="1" s="1"/>
  <c r="AE18" i="1" s="1"/>
  <c r="AF18" i="1" s="1"/>
  <c r="AG18" i="1" s="1"/>
  <c r="X40" i="1"/>
  <c r="D40" i="1" s="1"/>
  <c r="AE11" i="1" l="1"/>
  <c r="AE40" i="1" s="1"/>
  <c r="AD43" i="1"/>
  <c r="X41" i="1"/>
  <c r="AG32" i="1"/>
  <c r="AG31" i="1" s="1"/>
  <c r="E31" i="1" s="1"/>
  <c r="F31" i="1" s="1"/>
  <c r="AF31" i="1"/>
  <c r="AG17" i="1"/>
  <c r="AG16" i="1" s="1"/>
  <c r="E16" i="1" s="1"/>
  <c r="F16" i="1" s="1"/>
  <c r="AF16" i="1"/>
  <c r="AF11" i="1" l="1"/>
  <c r="AG11" i="1" s="1"/>
  <c r="E11" i="1" s="1"/>
  <c r="F11" i="1" s="1"/>
  <c r="X43" i="1"/>
  <c r="D41" i="1"/>
  <c r="D43" i="1" s="1"/>
  <c r="AG40" i="1"/>
  <c r="AF40" i="1"/>
  <c r="AG42" i="1" l="1"/>
  <c r="AG41" i="1" s="1"/>
  <c r="E42" i="1"/>
  <c r="F42" i="1" s="1"/>
  <c r="F40" i="1" l="1"/>
  <c r="AG43" i="1"/>
  <c r="F41" i="1"/>
  <c r="E43" i="1" l="1"/>
  <c r="F43" i="1"/>
</calcChain>
</file>

<file path=xl/comments1.xml><?xml version="1.0" encoding="utf-8"?>
<comments xmlns="http://schemas.openxmlformats.org/spreadsheetml/2006/main">
  <authors>
    <author>Ondřej Peřina</author>
  </authors>
  <commentList>
    <comment ref="Z7" authorId="0" shape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nadstavba není zatím pro rok 2010 dopočtena! Bude upřesněno, až bude známa částka nadstavby dotace pro Liberecký kraj</t>
        </r>
      </text>
    </comment>
    <comment ref="Z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Součet bodů za všechna kritéria nadstavby násobená jejich koeficienty významu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Odchylka počtu bodů daného střediska od průměrného počtu bodů všech středisek.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součin všech členů střediska a celkového počtu získaných bodů
(nadstavba se rozděluje na všechny členy stejně)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nezapočítávají se hostující členové, neboť z nich
  kraj nic nemá zkreslovali by přehled
- čestní členové se započítávají</t>
        </r>
      </text>
    </comment>
    <comment ref="BC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počítají se vůdci všech typů oddílů bez rozdílu</t>
        </r>
      </text>
    </comment>
    <comment ref="BD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počítají se vůdci všech typů oddílů bez rozdílu</t>
        </r>
      </text>
    </comment>
    <comment ref="BE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členů, neboť jiné typy nemusí mít zástupce vůbec</t>
        </r>
      </text>
    </comment>
    <comment ref="BF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 (pokud není pozice obsazena, považuje se to za nedostatečnou kvalifikaci), neboť jiné typy nemusí mít zástupce vůbec</t>
        </r>
      </text>
    </comment>
    <comment ref="BG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Ondřej Peřina:
</t>
        </r>
        <r>
          <rPr>
            <sz val="9"/>
            <color indexed="81"/>
            <rFont val="Tahoma"/>
            <family val="2"/>
            <charset val="238"/>
          </rPr>
          <t>potřebná kvalifikace se vypočte z celkového počtu funkcí, které musí být obsazeny s vůdcovskou kvalifikací a určuje se podíl vůči reálnému počtu kvalifikovaných osob</t>
        </r>
      </text>
    </comment>
    <comment ref="BP8" authorId="0" shape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počet členů, kteří byli registrováni v roce 2009 a letos již nejsou</t>
        </r>
      </text>
    </comment>
    <comment ref="BQ8" authorId="0" shape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Průměrná délka členství osob, které se již letos neregistrovaly</t>
        </r>
      </text>
    </comment>
  </commentList>
</comments>
</file>

<file path=xl/sharedStrings.xml><?xml version="1.0" encoding="utf-8"?>
<sst xmlns="http://schemas.openxmlformats.org/spreadsheetml/2006/main" count="462" uniqueCount="127">
  <si>
    <t>středisko "KLÍČ" Nový Bor</t>
  </si>
  <si>
    <t>středisko DOKSY</t>
  </si>
  <si>
    <t>středisko "KŘIŠŤÁL" Jablonec nad Nisou</t>
  </si>
  <si>
    <t>středisko "WATAKÍ" Jablonec nad Nisou</t>
  </si>
  <si>
    <t>oblast Liberec</t>
  </si>
  <si>
    <t>středisko "VARTA" Semily</t>
  </si>
  <si>
    <t>středisko "ŠTIKA" Turnov</t>
  </si>
  <si>
    <t>středisko "JILM" Jilemnice</t>
  </si>
  <si>
    <t>středisko "ÚDOLÍ" Železný Brod</t>
  </si>
  <si>
    <t>středisko "LÍPA" Tatobity</t>
  </si>
  <si>
    <t>středisko "JESTŘÁB" Jilemnice</t>
  </si>
  <si>
    <t>celkem</t>
  </si>
  <si>
    <t>---</t>
  </si>
  <si>
    <t>514.03</t>
  </si>
  <si>
    <t>511.01</t>
  </si>
  <si>
    <t>511.02</t>
  </si>
  <si>
    <t>511.04</t>
  </si>
  <si>
    <t>511.05</t>
  </si>
  <si>
    <t>512.01</t>
  </si>
  <si>
    <t>512.05</t>
  </si>
  <si>
    <t>513.01</t>
  </si>
  <si>
    <t>středisko "JEŠTĚD" Liberec</t>
  </si>
  <si>
    <t>513.04</t>
  </si>
  <si>
    <t>středisko "STOPA" Liberec</t>
  </si>
  <si>
    <t>513.05</t>
  </si>
  <si>
    <t>středisko "MUSTANG" Liberec</t>
  </si>
  <si>
    <t>513.07</t>
  </si>
  <si>
    <t>přístav "FLOTILA" Liberec</t>
  </si>
  <si>
    <t>513.09</t>
  </si>
  <si>
    <t>středisko "ŠUREAN" Liberec</t>
  </si>
  <si>
    <t>513.10</t>
  </si>
  <si>
    <t>přístav "MAJÁK" Liberec</t>
  </si>
  <si>
    <t>513.12</t>
  </si>
  <si>
    <t>středisko "HRÁDEK" Hrádek nad Nisou</t>
  </si>
  <si>
    <t>513.15</t>
  </si>
  <si>
    <t>středisko "DUB" Český Dub</t>
  </si>
  <si>
    <t>513.20</t>
  </si>
  <si>
    <t>středisko "OS JAROSLAVA ČAPKA" Liberec</t>
  </si>
  <si>
    <t>514.01</t>
  </si>
  <si>
    <t>514.02</t>
  </si>
  <si>
    <t>514.06</t>
  </si>
  <si>
    <t>514.07</t>
  </si>
  <si>
    <t>514.11</t>
  </si>
  <si>
    <t>oblast Česká Lípa</t>
  </si>
  <si>
    <t>středisko "ŘETĚZ" Česká Lípa</t>
  </si>
  <si>
    <t>přístav "RALSKO" Mimoň</t>
  </si>
  <si>
    <t>Liberecký kraj</t>
  </si>
  <si>
    <t>Junák - svaz skautů a skautek ČR, Liberecký kraj</t>
  </si>
  <si>
    <t>Zemědělská 302/18a, 46008 Liberec 8</t>
  </si>
  <si>
    <t>IČ: 709 00 973 | ev. č.: 510</t>
  </si>
  <si>
    <t>OJ</t>
  </si>
  <si>
    <t>počet členů</t>
  </si>
  <si>
    <t>řádných</t>
  </si>
  <si>
    <t>hostujících</t>
  </si>
  <si>
    <t>čestných</t>
  </si>
  <si>
    <t>dětí</t>
  </si>
  <si>
    <t>nad 26 let</t>
  </si>
  <si>
    <t>do 26 let</t>
  </si>
  <si>
    <t>opoždění</t>
  </si>
  <si>
    <t>dnů</t>
  </si>
  <si>
    <t>započ. týdnů</t>
  </si>
  <si>
    <t>srážka</t>
  </si>
  <si>
    <t>dotace</t>
  </si>
  <si>
    <t>částka</t>
  </si>
  <si>
    <t>vůdce s</t>
  </si>
  <si>
    <t>vůdce bez</t>
  </si>
  <si>
    <t>zástupce s</t>
  </si>
  <si>
    <t>zástupce bez</t>
  </si>
  <si>
    <t>dětských</t>
  </si>
  <si>
    <t>roveři</t>
  </si>
  <si>
    <t>klub OS</t>
  </si>
  <si>
    <r>
      <t>věková struktura členů</t>
    </r>
    <r>
      <rPr>
        <sz val="11"/>
        <color theme="0"/>
        <rFont val="Calibri"/>
        <family val="2"/>
        <charset val="238"/>
      </rPr>
      <t xml:space="preserve"> (pro dotace)</t>
    </r>
  </si>
  <si>
    <t>Základ dotace</t>
  </si>
  <si>
    <t>vypočtený nárok</t>
  </si>
  <si>
    <t>dotace rozdělovaná jednotkám v kraji</t>
  </si>
  <si>
    <t>kontrola</t>
  </si>
  <si>
    <t>částka pro výpočet na různé věkové skupiny:</t>
  </si>
  <si>
    <t>(3 : 2 : 1)</t>
  </si>
  <si>
    <t>na díl</t>
  </si>
  <si>
    <t>ponecháno kraji (vliv zaokrouhlení)</t>
  </si>
  <si>
    <t>ponechávaná kraji přímo na vlastní aktivity</t>
  </si>
  <si>
    <t>před zaokr.</t>
  </si>
  <si>
    <t>datum</t>
  </si>
  <si>
    <t>nemá tábory</t>
  </si>
  <si>
    <t>typ</t>
  </si>
  <si>
    <t>předpoklad</t>
  </si>
  <si>
    <t>Nadstavba dotace</t>
  </si>
  <si>
    <t>body</t>
  </si>
  <si>
    <t>váha: 0,2</t>
  </si>
  <si>
    <t>abs. změna</t>
  </si>
  <si>
    <t>rel. změna</t>
  </si>
  <si>
    <t>váha: 0,25</t>
  </si>
  <si>
    <t>podíl</t>
  </si>
  <si>
    <t>váha: 0,35</t>
  </si>
  <si>
    <t>děťodny</t>
  </si>
  <si>
    <t>mladších členů</t>
  </si>
  <si>
    <t>táborů</t>
  </si>
  <si>
    <t>rel. úspěšnost</t>
  </si>
  <si>
    <t>body x počet členů</t>
  </si>
  <si>
    <t>podíl z nadstavby</t>
  </si>
  <si>
    <t>Výsledná dotace pro jednotku</t>
  </si>
  <si>
    <t>základ</t>
  </si>
  <si>
    <t>nadstavba</t>
  </si>
  <si>
    <t>okres Jablonec nad Nisou (ORJ Jablonec n/N)</t>
  </si>
  <si>
    <t>okres Semily (ORJ Semily)</t>
  </si>
  <si>
    <t>(střediska, případně okresy)</t>
  </si>
  <si>
    <t>Typy oddílů a jejich počty</t>
  </si>
  <si>
    <t>Ev. č.</t>
  </si>
  <si>
    <t>Název OJ</t>
  </si>
  <si>
    <t>Datum odevzdání registrace</t>
  </si>
  <si>
    <t>Odevzdání hlášenky táborů</t>
  </si>
  <si>
    <t>zpracoval:</t>
  </si>
  <si>
    <t>hosp. výkaz</t>
  </si>
  <si>
    <t>1) Meziroční nárůst členů mladších 18 let</t>
  </si>
  <si>
    <t>2) Minimální kvalifikace vůdců a zástupců (na oddíl)</t>
  </si>
  <si>
    <t>Meziroční celkový nárůst členů</t>
  </si>
  <si>
    <t>registrace</t>
  </si>
  <si>
    <t>3) Délka členství odch. mladších členů</t>
  </si>
  <si>
    <t>Odchozí</t>
  </si>
  <si>
    <t>Délka čl.</t>
  </si>
  <si>
    <t>Ondřej Peřina - Jerry, 5.10.2010</t>
  </si>
  <si>
    <t>Rozdělení dotací dle krajské vyhlášky 1/2012</t>
  </si>
  <si>
    <t>připsáno na účet</t>
  </si>
  <si>
    <t>28.2.2012, 6.3.2012</t>
  </si>
  <si>
    <t>pro rok 2012 upravila:</t>
  </si>
  <si>
    <t>4) Počet děťodnů na táborech 2011</t>
  </si>
  <si>
    <t xml:space="preserve"> Tereza Peřinová - Andílek, 28.9.2012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</si>
</sst>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_ ;[Red]\-0\ "/>
    <numFmt numFmtId="165" formatCode="\+0.00%;[Red]\-0.00%"/>
    <numFmt numFmtId="166" formatCode="0.0000%"/>
    <numFmt numFmtId="167" formatCode="0.0000"/>
    <numFmt numFmtId="168" formatCode="#,##0.0000_ ;\-#,##0.0000\ "/>
    <numFmt numFmtId="169" formatCode="#,##0_ ;\-#,##0\ 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28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</font>
    <font>
      <i/>
      <sz val="9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theme="0" tint="-0.499984740745262"/>
      <name val="Arial"/>
      <family val="2"/>
      <charset val="238"/>
    </font>
    <font>
      <sz val="11"/>
      <color theme="6" tint="-0.49998474074526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8" borderId="0" applyNumberFormat="0" applyBorder="0" applyAlignment="0" applyProtection="0"/>
  </cellStyleXfs>
  <cellXfs count="6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44" fontId="4" fillId="0" borderId="0" xfId="1" applyFont="1" applyAlignment="1"/>
    <xf numFmtId="0" fontId="6" fillId="0" borderId="0" xfId="0" applyFont="1" applyAlignment="1"/>
    <xf numFmtId="44" fontId="3" fillId="0" borderId="0" xfId="1" applyFont="1"/>
    <xf numFmtId="0" fontId="6" fillId="0" borderId="0" xfId="0" applyFont="1" applyFill="1" applyBorder="1" applyAlignment="1">
      <alignment horizontal="left"/>
    </xf>
    <xf numFmtId="0" fontId="8" fillId="2" borderId="38" xfId="0" applyFont="1" applyFill="1" applyBorder="1"/>
    <xf numFmtId="0" fontId="9" fillId="2" borderId="2" xfId="0" applyFont="1" applyFill="1" applyBorder="1"/>
    <xf numFmtId="42" fontId="9" fillId="2" borderId="2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2" fontId="9" fillId="2" borderId="34" xfId="1" applyNumberFormat="1" applyFont="1" applyFill="1" applyBorder="1" applyAlignment="1">
      <alignment horizontal="center"/>
    </xf>
    <xf numFmtId="42" fontId="9" fillId="2" borderId="8" xfId="1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3" fontId="9" fillId="2" borderId="34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42" fontId="9" fillId="2" borderId="3" xfId="1" applyNumberFormat="1" applyFont="1" applyFill="1" applyBorder="1" applyAlignment="1">
      <alignment horizontal="center"/>
    </xf>
    <xf numFmtId="0" fontId="6" fillId="3" borderId="11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center"/>
    </xf>
    <xf numFmtId="42" fontId="4" fillId="0" borderId="0" xfId="1" applyNumberFormat="1" applyFont="1" applyBorder="1" applyAlignment="1">
      <alignment horizontal="center"/>
    </xf>
    <xf numFmtId="14" fontId="4" fillId="0" borderId="17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11" fillId="4" borderId="23" xfId="1" quotePrefix="1" applyNumberFormat="1" applyFont="1" applyFill="1" applyBorder="1" applyAlignment="1">
      <alignment horizontal="center"/>
    </xf>
    <xf numFmtId="42" fontId="11" fillId="4" borderId="26" xfId="1" quotePrefix="1" applyNumberFormat="1" applyFont="1" applyFill="1" applyBorder="1" applyAlignment="1">
      <alignment horizontal="center"/>
    </xf>
    <xf numFmtId="0" fontId="11" fillId="0" borderId="18" xfId="0" applyFont="1" applyFill="1" applyBorder="1"/>
    <xf numFmtId="42" fontId="11" fillId="0" borderId="18" xfId="1" quotePrefix="1" applyNumberFormat="1" applyFont="1" applyFill="1" applyBorder="1" applyAlignment="1">
      <alignment horizontal="center"/>
    </xf>
    <xf numFmtId="0" fontId="11" fillId="0" borderId="47" xfId="0" applyFont="1" applyFill="1" applyBorder="1"/>
    <xf numFmtId="42" fontId="11" fillId="0" borderId="47" xfId="1" quotePrefix="1" applyNumberFormat="1" applyFont="1" applyFill="1" applyBorder="1" applyAlignment="1">
      <alignment horizontal="center"/>
    </xf>
    <xf numFmtId="42" fontId="11" fillId="6" borderId="23" xfId="1" quotePrefix="1" applyNumberFormat="1" applyFont="1" applyFill="1" applyBorder="1" applyAlignment="1">
      <alignment horizontal="center"/>
    </xf>
    <xf numFmtId="42" fontId="11" fillId="6" borderId="26" xfId="1" quotePrefix="1" applyNumberFormat="1" applyFont="1" applyFill="1" applyBorder="1" applyAlignment="1">
      <alignment horizontal="center"/>
    </xf>
    <xf numFmtId="42" fontId="11" fillId="0" borderId="15" xfId="1" quotePrefix="1" applyNumberFormat="1" applyFont="1" applyFill="1" applyBorder="1" applyAlignment="1">
      <alignment horizontal="center"/>
    </xf>
    <xf numFmtId="14" fontId="4" fillId="0" borderId="15" xfId="1" applyNumberFormat="1" applyFont="1" applyFill="1" applyBorder="1" applyAlignment="1">
      <alignment horizontal="center"/>
    </xf>
    <xf numFmtId="42" fontId="9" fillId="2" borderId="59" xfId="1" applyNumberFormat="1" applyFont="1" applyFill="1" applyBorder="1" applyAlignment="1">
      <alignment horizontal="center"/>
    </xf>
    <xf numFmtId="14" fontId="4" fillId="0" borderId="9" xfId="1" applyNumberFormat="1" applyFont="1" applyFill="1" applyBorder="1" applyAlignment="1">
      <alignment horizontal="center"/>
    </xf>
    <xf numFmtId="44" fontId="11" fillId="4" borderId="26" xfId="1" quotePrefix="1" applyFont="1" applyFill="1" applyBorder="1" applyAlignment="1">
      <alignment horizontal="center"/>
    </xf>
    <xf numFmtId="44" fontId="4" fillId="0" borderId="17" xfId="1" applyFont="1" applyFill="1" applyBorder="1" applyAlignment="1">
      <alignment horizontal="center"/>
    </xf>
    <xf numFmtId="44" fontId="4" fillId="0" borderId="9" xfId="1" applyFont="1" applyFill="1" applyBorder="1" applyAlignment="1">
      <alignment horizontal="center"/>
    </xf>
    <xf numFmtId="44" fontId="4" fillId="0" borderId="49" xfId="1" applyFont="1" applyFill="1" applyBorder="1" applyAlignment="1">
      <alignment horizontal="center"/>
    </xf>
    <xf numFmtId="44" fontId="4" fillId="7" borderId="26" xfId="1" applyFont="1" applyFill="1" applyBorder="1" applyAlignment="1">
      <alignment horizontal="center"/>
    </xf>
    <xf numFmtId="44" fontId="11" fillId="0" borderId="21" xfId="1" quotePrefix="1" applyFont="1" applyFill="1" applyBorder="1" applyAlignment="1">
      <alignment horizontal="center"/>
    </xf>
    <xf numFmtId="44" fontId="11" fillId="0" borderId="49" xfId="1" quotePrefix="1" applyFont="1" applyFill="1" applyBorder="1" applyAlignment="1">
      <alignment horizontal="center"/>
    </xf>
    <xf numFmtId="44" fontId="11" fillId="6" borderId="26" xfId="1" quotePrefix="1" applyFont="1" applyFill="1" applyBorder="1" applyAlignment="1">
      <alignment horizontal="center"/>
    </xf>
    <xf numFmtId="44" fontId="4" fillId="5" borderId="26" xfId="1" applyFont="1" applyFill="1" applyBorder="1" applyAlignment="1">
      <alignment horizontal="center"/>
    </xf>
    <xf numFmtId="44" fontId="11" fillId="0" borderId="9" xfId="1" quotePrefix="1" applyFont="1" applyFill="1" applyBorder="1" applyAlignment="1">
      <alignment horizontal="center"/>
    </xf>
    <xf numFmtId="44" fontId="6" fillId="3" borderId="10" xfId="1" applyFont="1" applyFill="1" applyBorder="1" applyAlignment="1">
      <alignment horizontal="center"/>
    </xf>
    <xf numFmtId="14" fontId="4" fillId="0" borderId="18" xfId="1" applyNumberFormat="1" applyFont="1" applyFill="1" applyBorder="1" applyAlignment="1">
      <alignment horizontal="center"/>
    </xf>
    <xf numFmtId="0" fontId="11" fillId="4" borderId="25" xfId="0" quotePrefix="1" applyNumberFormat="1" applyFont="1" applyFill="1" applyBorder="1" applyAlignment="1">
      <alignment horizontal="center"/>
    </xf>
    <xf numFmtId="0" fontId="11" fillId="4" borderId="24" xfId="0" quotePrefix="1" applyNumberFormat="1" applyFont="1" applyFill="1" applyBorder="1" applyAlignment="1">
      <alignment horizontal="center"/>
    </xf>
    <xf numFmtId="0" fontId="10" fillId="4" borderId="26" xfId="0" quotePrefix="1" applyNumberFormat="1" applyFont="1" applyFill="1" applyBorder="1" applyAlignment="1">
      <alignment horizontal="center"/>
    </xf>
    <xf numFmtId="0" fontId="11" fillId="4" borderId="27" xfId="1" quotePrefix="1" applyNumberFormat="1" applyFont="1" applyFill="1" applyBorder="1" applyAlignment="1">
      <alignment horizontal="center"/>
    </xf>
    <xf numFmtId="0" fontId="11" fillId="4" borderId="43" xfId="2" quotePrefix="1" applyNumberFormat="1" applyFont="1" applyFill="1" applyBorder="1" applyAlignment="1">
      <alignment horizontal="center"/>
    </xf>
    <xf numFmtId="0" fontId="11" fillId="4" borderId="53" xfId="0" quotePrefix="1" applyNumberFormat="1" applyFont="1" applyFill="1" applyBorder="1" applyAlignment="1">
      <alignment horizontal="center"/>
    </xf>
    <xf numFmtId="0" fontId="11" fillId="4" borderId="24" xfId="1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32" xfId="1" applyNumberFormat="1" applyFont="1" applyFill="1" applyBorder="1" applyAlignment="1">
      <alignment horizontal="center"/>
    </xf>
    <xf numFmtId="0" fontId="4" fillId="0" borderId="44" xfId="2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19" xfId="1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/>
    </xf>
    <xf numFmtId="0" fontId="4" fillId="0" borderId="45" xfId="2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50" xfId="1" applyNumberFormat="1" applyFont="1" applyFill="1" applyBorder="1" applyAlignment="1">
      <alignment horizontal="center"/>
    </xf>
    <xf numFmtId="0" fontId="4" fillId="0" borderId="52" xfId="2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0" fontId="4" fillId="0" borderId="48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4" fillId="7" borderId="25" xfId="0" applyNumberFormat="1" applyFont="1" applyFill="1" applyBorder="1" applyAlignment="1">
      <alignment horizontal="center"/>
    </xf>
    <xf numFmtId="0" fontId="4" fillId="7" borderId="24" xfId="0" applyNumberFormat="1" applyFont="1" applyFill="1" applyBorder="1" applyAlignment="1">
      <alignment horizontal="center"/>
    </xf>
    <xf numFmtId="0" fontId="6" fillId="7" borderId="26" xfId="0" applyNumberFormat="1" applyFont="1" applyFill="1" applyBorder="1" applyAlignment="1">
      <alignment horizontal="center"/>
    </xf>
    <xf numFmtId="0" fontId="4" fillId="7" borderId="43" xfId="2" quotePrefix="1" applyNumberFormat="1" applyFont="1" applyFill="1" applyBorder="1" applyAlignment="1">
      <alignment horizontal="center"/>
    </xf>
    <xf numFmtId="0" fontId="4" fillId="7" borderId="53" xfId="0" applyNumberFormat="1" applyFont="1" applyFill="1" applyBorder="1" applyAlignment="1">
      <alignment horizontal="center"/>
    </xf>
    <xf numFmtId="0" fontId="4" fillId="7" borderId="24" xfId="1" applyNumberFormat="1" applyFont="1" applyFill="1" applyBorder="1" applyAlignment="1">
      <alignment horizontal="center"/>
    </xf>
    <xf numFmtId="0" fontId="12" fillId="0" borderId="20" xfId="0" quotePrefix="1" applyNumberFormat="1" applyFont="1" applyFill="1" applyBorder="1" applyAlignment="1">
      <alignment horizontal="center"/>
    </xf>
    <xf numFmtId="0" fontId="12" fillId="0" borderId="19" xfId="0" quotePrefix="1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2" xfId="1" applyNumberFormat="1" applyFont="1" applyFill="1" applyBorder="1" applyAlignment="1">
      <alignment horizontal="center"/>
    </xf>
    <xf numFmtId="0" fontId="11" fillId="0" borderId="46" xfId="2" applyNumberFormat="1" applyFont="1" applyFill="1" applyBorder="1" applyAlignment="1">
      <alignment horizontal="center"/>
    </xf>
    <xf numFmtId="0" fontId="11" fillId="0" borderId="19" xfId="1" applyNumberFormat="1" applyFont="1" applyFill="1" applyBorder="1" applyAlignment="1">
      <alignment horizontal="center"/>
    </xf>
    <xf numFmtId="0" fontId="12" fillId="0" borderId="51" xfId="0" quotePrefix="1" applyNumberFormat="1" applyFont="1" applyFill="1" applyBorder="1" applyAlignment="1">
      <alignment horizontal="center"/>
    </xf>
    <xf numFmtId="0" fontId="12" fillId="0" borderId="48" xfId="0" quotePrefix="1" applyNumberFormat="1" applyFont="1" applyFill="1" applyBorder="1" applyAlignment="1">
      <alignment horizontal="center"/>
    </xf>
    <xf numFmtId="0" fontId="11" fillId="0" borderId="49" xfId="0" applyNumberFormat="1" applyFont="1" applyFill="1" applyBorder="1" applyAlignment="1">
      <alignment horizontal="center"/>
    </xf>
    <xf numFmtId="0" fontId="11" fillId="0" borderId="50" xfId="1" applyNumberFormat="1" applyFont="1" applyFill="1" applyBorder="1" applyAlignment="1">
      <alignment horizontal="center"/>
    </xf>
    <xf numFmtId="0" fontId="11" fillId="0" borderId="52" xfId="2" applyNumberFormat="1" applyFont="1" applyFill="1" applyBorder="1" applyAlignment="1">
      <alignment horizontal="center"/>
    </xf>
    <xf numFmtId="0" fontId="11" fillId="0" borderId="48" xfId="1" applyNumberFormat="1" applyFont="1" applyFill="1" applyBorder="1" applyAlignment="1">
      <alignment horizontal="center"/>
    </xf>
    <xf numFmtId="0" fontId="11" fillId="6" borderId="25" xfId="0" quotePrefix="1" applyNumberFormat="1" applyFont="1" applyFill="1" applyBorder="1" applyAlignment="1">
      <alignment horizontal="center"/>
    </xf>
    <xf numFmtId="0" fontId="11" fillId="6" borderId="24" xfId="0" quotePrefix="1" applyNumberFormat="1" applyFont="1" applyFill="1" applyBorder="1" applyAlignment="1">
      <alignment horizontal="center"/>
    </xf>
    <xf numFmtId="0" fontId="10" fillId="6" borderId="26" xfId="0" quotePrefix="1" applyNumberFormat="1" applyFont="1" applyFill="1" applyBorder="1" applyAlignment="1">
      <alignment horizontal="center"/>
    </xf>
    <xf numFmtId="0" fontId="11" fillId="6" borderId="27" xfId="1" quotePrefix="1" applyNumberFormat="1" applyFont="1" applyFill="1" applyBorder="1" applyAlignment="1">
      <alignment horizontal="center"/>
    </xf>
    <xf numFmtId="0" fontId="11" fillId="6" borderId="43" xfId="2" quotePrefix="1" applyNumberFormat="1" applyFont="1" applyFill="1" applyBorder="1" applyAlignment="1">
      <alignment horizontal="center"/>
    </xf>
    <xf numFmtId="0" fontId="11" fillId="6" borderId="53" xfId="0" quotePrefix="1" applyNumberFormat="1" applyFont="1" applyFill="1" applyBorder="1" applyAlignment="1">
      <alignment horizontal="center"/>
    </xf>
    <xf numFmtId="0" fontId="11" fillId="6" borderId="24" xfId="1" quotePrefix="1" applyNumberFormat="1" applyFont="1" applyFill="1" applyBorder="1" applyAlignment="1">
      <alignment horizontal="center"/>
    </xf>
    <xf numFmtId="0" fontId="4" fillId="5" borderId="25" xfId="0" applyNumberFormat="1" applyFont="1" applyFill="1" applyBorder="1" applyAlignment="1">
      <alignment horizontal="center"/>
    </xf>
    <xf numFmtId="0" fontId="4" fillId="5" borderId="24" xfId="0" applyNumberFormat="1" applyFont="1" applyFill="1" applyBorder="1" applyAlignment="1">
      <alignment horizontal="center"/>
    </xf>
    <xf numFmtId="0" fontId="6" fillId="5" borderId="26" xfId="0" applyNumberFormat="1" applyFont="1" applyFill="1" applyBorder="1" applyAlignment="1">
      <alignment horizontal="center"/>
    </xf>
    <xf numFmtId="0" fontId="4" fillId="5" borderId="43" xfId="2" quotePrefix="1" applyNumberFormat="1" applyFont="1" applyFill="1" applyBorder="1" applyAlignment="1">
      <alignment horizontal="center"/>
    </xf>
    <xf numFmtId="0" fontId="4" fillId="5" borderId="53" xfId="0" applyNumberFormat="1" applyFont="1" applyFill="1" applyBorder="1" applyAlignment="1">
      <alignment horizontal="center"/>
    </xf>
    <xf numFmtId="0" fontId="4" fillId="5" borderId="24" xfId="1" applyNumberFormat="1" applyFont="1" applyFill="1" applyBorder="1" applyAlignment="1">
      <alignment horizontal="center"/>
    </xf>
    <xf numFmtId="0" fontId="12" fillId="0" borderId="6" xfId="0" quotePrefix="1" applyNumberFormat="1" applyFont="1" applyFill="1" applyBorder="1" applyAlignment="1">
      <alignment horizontal="center"/>
    </xf>
    <xf numFmtId="0" fontId="12" fillId="0" borderId="4" xfId="0" quotePrefix="1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11" fillId="0" borderId="14" xfId="1" applyNumberFormat="1" applyFont="1" applyFill="1" applyBorder="1" applyAlignment="1">
      <alignment horizontal="center"/>
    </xf>
    <xf numFmtId="0" fontId="11" fillId="0" borderId="45" xfId="2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6" fillId="3" borderId="7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3" borderId="10" xfId="2" applyNumberFormat="1" applyFont="1" applyFill="1" applyBorder="1" applyAlignment="1">
      <alignment horizontal="center"/>
    </xf>
    <xf numFmtId="0" fontId="6" fillId="3" borderId="42" xfId="2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6" fillId="3" borderId="5" xfId="0" quotePrefix="1" applyNumberFormat="1" applyFont="1" applyFill="1" applyBorder="1" applyAlignment="1">
      <alignment horizontal="center"/>
    </xf>
    <xf numFmtId="9" fontId="4" fillId="0" borderId="28" xfId="2" applyFont="1" applyFill="1" applyBorder="1" applyAlignment="1">
      <alignment horizontal="center"/>
    </xf>
    <xf numFmtId="9" fontId="4" fillId="0" borderId="4" xfId="2" applyFont="1" applyFill="1" applyBorder="1" applyAlignment="1">
      <alignment horizontal="center"/>
    </xf>
    <xf numFmtId="9" fontId="4" fillId="0" borderId="48" xfId="2" applyFont="1" applyFill="1" applyBorder="1" applyAlignment="1">
      <alignment horizontal="center"/>
    </xf>
    <xf numFmtId="9" fontId="4" fillId="7" borderId="24" xfId="2" applyFont="1" applyFill="1" applyBorder="1" applyAlignment="1">
      <alignment horizontal="center"/>
    </xf>
    <xf numFmtId="9" fontId="4" fillId="5" borderId="24" xfId="2" applyFont="1" applyFill="1" applyBorder="1" applyAlignment="1">
      <alignment horizontal="center"/>
    </xf>
    <xf numFmtId="14" fontId="4" fillId="0" borderId="47" xfId="1" applyNumberFormat="1" applyFont="1" applyFill="1" applyBorder="1" applyAlignment="1">
      <alignment horizontal="center"/>
    </xf>
    <xf numFmtId="42" fontId="9" fillId="2" borderId="60" xfId="1" applyNumberFormat="1" applyFont="1" applyFill="1" applyBorder="1" applyAlignment="1">
      <alignment horizontal="center"/>
    </xf>
    <xf numFmtId="0" fontId="4" fillId="9" borderId="54" xfId="0" applyNumberFormat="1" applyFont="1" applyFill="1" applyBorder="1" applyAlignment="1">
      <alignment horizontal="center"/>
    </xf>
    <xf numFmtId="0" fontId="11" fillId="4" borderId="62" xfId="1" quotePrefix="1" applyNumberFormat="1" applyFont="1" applyFill="1" applyBorder="1" applyAlignment="1">
      <alignment horizontal="center"/>
    </xf>
    <xf numFmtId="0" fontId="4" fillId="0" borderId="64" xfId="1" applyNumberFormat="1" applyFont="1" applyFill="1" applyBorder="1" applyAlignment="1">
      <alignment horizontal="center"/>
    </xf>
    <xf numFmtId="0" fontId="4" fillId="0" borderId="65" xfId="1" applyNumberFormat="1" applyFont="1" applyFill="1" applyBorder="1" applyAlignment="1">
      <alignment horizontal="center"/>
    </xf>
    <xf numFmtId="0" fontId="4" fillId="7" borderId="62" xfId="1" applyNumberFormat="1" applyFont="1" applyFill="1" applyBorder="1" applyAlignment="1">
      <alignment horizontal="center"/>
    </xf>
    <xf numFmtId="0" fontId="11" fillId="0" borderId="63" xfId="1" applyNumberFormat="1" applyFont="1" applyFill="1" applyBorder="1" applyAlignment="1">
      <alignment horizontal="center"/>
    </xf>
    <xf numFmtId="0" fontId="11" fillId="0" borderId="65" xfId="1" applyNumberFormat="1" applyFont="1" applyFill="1" applyBorder="1" applyAlignment="1">
      <alignment horizontal="center"/>
    </xf>
    <xf numFmtId="0" fontId="11" fillId="6" borderId="62" xfId="1" quotePrefix="1" applyNumberFormat="1" applyFont="1" applyFill="1" applyBorder="1" applyAlignment="1">
      <alignment horizontal="center"/>
    </xf>
    <xf numFmtId="0" fontId="4" fillId="5" borderId="62" xfId="1" applyNumberFormat="1" applyFont="1" applyFill="1" applyBorder="1" applyAlignment="1">
      <alignment horizontal="center"/>
    </xf>
    <xf numFmtId="0" fontId="11" fillId="0" borderId="64" xfId="1" applyNumberFormat="1" applyFont="1" applyFill="1" applyBorder="1" applyAlignment="1">
      <alignment horizontal="center"/>
    </xf>
    <xf numFmtId="0" fontId="6" fillId="3" borderId="61" xfId="1" applyNumberFormat="1" applyFont="1" applyFill="1" applyBorder="1" applyAlignment="1">
      <alignment horizontal="center"/>
    </xf>
    <xf numFmtId="0" fontId="4" fillId="9" borderId="55" xfId="0" applyNumberFormat="1" applyFont="1" applyFill="1" applyBorder="1" applyAlignment="1">
      <alignment horizontal="center"/>
    </xf>
    <xf numFmtId="0" fontId="4" fillId="9" borderId="4" xfId="1" applyNumberFormat="1" applyFont="1" applyFill="1" applyBorder="1" applyAlignment="1">
      <alignment horizontal="center"/>
    </xf>
    <xf numFmtId="0" fontId="4" fillId="9" borderId="48" xfId="1" applyNumberFormat="1" applyFont="1" applyFill="1" applyBorder="1" applyAlignment="1">
      <alignment horizontal="center"/>
    </xf>
    <xf numFmtId="0" fontId="4" fillId="9" borderId="56" xfId="0" applyNumberFormat="1" applyFont="1" applyFill="1" applyBorder="1" applyAlignment="1">
      <alignment horizontal="center"/>
    </xf>
    <xf numFmtId="0" fontId="4" fillId="0" borderId="28" xfId="1" applyNumberFormat="1" applyFont="1" applyFill="1" applyBorder="1" applyAlignment="1">
      <alignment horizontal="center"/>
    </xf>
    <xf numFmtId="0" fontId="11" fillId="4" borderId="53" xfId="1" quotePrefix="1" applyNumberFormat="1" applyFont="1" applyFill="1" applyBorder="1" applyAlignment="1">
      <alignment horizontal="center"/>
    </xf>
    <xf numFmtId="0" fontId="4" fillId="0" borderId="54" xfId="1" applyNumberFormat="1" applyFont="1" applyFill="1" applyBorder="1" applyAlignment="1">
      <alignment horizontal="center"/>
    </xf>
    <xf numFmtId="0" fontId="4" fillId="0" borderId="55" xfId="1" applyNumberFormat="1" applyFont="1" applyFill="1" applyBorder="1" applyAlignment="1">
      <alignment horizontal="center"/>
    </xf>
    <xf numFmtId="0" fontId="4" fillId="0" borderId="56" xfId="1" applyNumberFormat="1" applyFont="1" applyFill="1" applyBorder="1" applyAlignment="1">
      <alignment horizontal="center"/>
    </xf>
    <xf numFmtId="0" fontId="11" fillId="0" borderId="57" xfId="1" applyNumberFormat="1" applyFont="1" applyFill="1" applyBorder="1" applyAlignment="1">
      <alignment horizontal="center"/>
    </xf>
    <xf numFmtId="0" fontId="11" fillId="0" borderId="56" xfId="1" applyNumberFormat="1" applyFont="1" applyFill="1" applyBorder="1" applyAlignment="1">
      <alignment horizontal="center"/>
    </xf>
    <xf numFmtId="0" fontId="11" fillId="6" borderId="53" xfId="1" quotePrefix="1" applyNumberFormat="1" applyFont="1" applyFill="1" applyBorder="1" applyAlignment="1">
      <alignment horizontal="center"/>
    </xf>
    <xf numFmtId="0" fontId="11" fillId="0" borderId="55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11" fillId="4" borderId="43" xfId="1" quotePrefix="1" applyNumberFormat="1" applyFont="1" applyFill="1" applyBorder="1" applyAlignment="1">
      <alignment horizontal="center"/>
    </xf>
    <xf numFmtId="0" fontId="4" fillId="0" borderId="44" xfId="1" applyNumberFormat="1" applyFont="1" applyFill="1" applyBorder="1" applyAlignment="1">
      <alignment horizontal="center"/>
    </xf>
    <xf numFmtId="0" fontId="4" fillId="0" borderId="45" xfId="1" applyNumberFormat="1" applyFont="1" applyFill="1" applyBorder="1" applyAlignment="1">
      <alignment horizontal="center"/>
    </xf>
    <xf numFmtId="0" fontId="4" fillId="0" borderId="52" xfId="1" applyNumberFormat="1" applyFont="1" applyFill="1" applyBorder="1" applyAlignment="1">
      <alignment horizontal="center"/>
    </xf>
    <xf numFmtId="0" fontId="11" fillId="0" borderId="46" xfId="1" applyNumberFormat="1" applyFont="1" applyFill="1" applyBorder="1" applyAlignment="1">
      <alignment horizontal="center"/>
    </xf>
    <xf numFmtId="0" fontId="11" fillId="0" borderId="52" xfId="1" applyNumberFormat="1" applyFont="1" applyFill="1" applyBorder="1" applyAlignment="1">
      <alignment horizontal="center"/>
    </xf>
    <xf numFmtId="0" fontId="11" fillId="6" borderId="43" xfId="1" quotePrefix="1" applyNumberFormat="1" applyFont="1" applyFill="1" applyBorder="1" applyAlignment="1">
      <alignment horizontal="center"/>
    </xf>
    <xf numFmtId="0" fontId="11" fillId="0" borderId="45" xfId="1" applyNumberFormat="1" applyFont="1" applyFill="1" applyBorder="1" applyAlignment="1">
      <alignment horizontal="center"/>
    </xf>
    <xf numFmtId="0" fontId="6" fillId="3" borderId="42" xfId="1" applyNumberFormat="1" applyFont="1" applyFill="1" applyBorder="1" applyAlignment="1">
      <alignment horizontal="center"/>
    </xf>
    <xf numFmtId="0" fontId="11" fillId="4" borderId="67" xfId="1" quotePrefix="1" applyNumberFormat="1" applyFont="1" applyFill="1" applyBorder="1" applyAlignment="1">
      <alignment horizontal="center"/>
    </xf>
    <xf numFmtId="0" fontId="4" fillId="0" borderId="68" xfId="1" applyNumberFormat="1" applyFont="1" applyFill="1" applyBorder="1" applyAlignment="1">
      <alignment horizontal="center"/>
    </xf>
    <xf numFmtId="0" fontId="4" fillId="0" borderId="69" xfId="1" applyNumberFormat="1" applyFont="1" applyFill="1" applyBorder="1" applyAlignment="1">
      <alignment horizontal="center"/>
    </xf>
    <xf numFmtId="0" fontId="4" fillId="0" borderId="70" xfId="1" applyNumberFormat="1" applyFont="1" applyFill="1" applyBorder="1" applyAlignment="1">
      <alignment horizontal="center"/>
    </xf>
    <xf numFmtId="0" fontId="11" fillId="0" borderId="71" xfId="1" applyNumberFormat="1" applyFont="1" applyFill="1" applyBorder="1" applyAlignment="1">
      <alignment horizontal="center"/>
    </xf>
    <xf numFmtId="0" fontId="11" fillId="0" borderId="70" xfId="1" applyNumberFormat="1" applyFont="1" applyFill="1" applyBorder="1" applyAlignment="1">
      <alignment horizontal="center"/>
    </xf>
    <xf numFmtId="0" fontId="11" fillId="6" borderId="67" xfId="1" quotePrefix="1" applyNumberFormat="1" applyFont="1" applyFill="1" applyBorder="1" applyAlignment="1">
      <alignment horizontal="center"/>
    </xf>
    <xf numFmtId="0" fontId="11" fillId="0" borderId="69" xfId="1" applyNumberFormat="1" applyFont="1" applyFill="1" applyBorder="1" applyAlignment="1">
      <alignment horizontal="center"/>
    </xf>
    <xf numFmtId="0" fontId="6" fillId="3" borderId="66" xfId="1" applyNumberFormat="1" applyFont="1" applyFill="1" applyBorder="1" applyAlignment="1">
      <alignment horizontal="center"/>
    </xf>
    <xf numFmtId="0" fontId="4" fillId="7" borderId="67" xfId="1" quotePrefix="1" applyNumberFormat="1" applyFont="1" applyFill="1" applyBorder="1" applyAlignment="1">
      <alignment horizontal="center"/>
    </xf>
    <xf numFmtId="0" fontId="4" fillId="7" borderId="43" xfId="1" quotePrefix="1" applyNumberFormat="1" applyFont="1" applyFill="1" applyBorder="1" applyAlignment="1">
      <alignment horizontal="center"/>
    </xf>
    <xf numFmtId="0" fontId="4" fillId="7" borderId="53" xfId="1" quotePrefix="1" applyNumberFormat="1" applyFont="1" applyFill="1" applyBorder="1" applyAlignment="1">
      <alignment horizontal="center"/>
    </xf>
    <xf numFmtId="0" fontId="4" fillId="7" borderId="24" xfId="1" quotePrefix="1" applyNumberFormat="1" applyFont="1" applyFill="1" applyBorder="1" applyAlignment="1">
      <alignment horizontal="center"/>
    </xf>
    <xf numFmtId="0" fontId="4" fillId="5" borderId="67" xfId="1" quotePrefix="1" applyNumberFormat="1" applyFont="1" applyFill="1" applyBorder="1" applyAlignment="1">
      <alignment horizontal="center"/>
    </xf>
    <xf numFmtId="0" fontId="4" fillId="5" borderId="43" xfId="1" quotePrefix="1" applyNumberFormat="1" applyFont="1" applyFill="1" applyBorder="1" applyAlignment="1">
      <alignment horizontal="center"/>
    </xf>
    <xf numFmtId="0" fontId="4" fillId="5" borderId="53" xfId="1" quotePrefix="1" applyNumberFormat="1" applyFont="1" applyFill="1" applyBorder="1" applyAlignment="1">
      <alignment horizontal="center"/>
    </xf>
    <xf numFmtId="0" fontId="4" fillId="5" borderId="24" xfId="1" quotePrefix="1" applyNumberFormat="1" applyFont="1" applyFill="1" applyBorder="1" applyAlignment="1">
      <alignment horizontal="center"/>
    </xf>
    <xf numFmtId="14" fontId="4" fillId="5" borderId="26" xfId="1" applyNumberFormat="1" applyFont="1" applyFill="1" applyBorder="1" applyAlignment="1">
      <alignment horizontal="center"/>
    </xf>
    <xf numFmtId="0" fontId="6" fillId="5" borderId="27" xfId="1" applyNumberFormat="1" applyFont="1" applyFill="1" applyBorder="1" applyAlignment="1">
      <alignment horizontal="center"/>
    </xf>
    <xf numFmtId="0" fontId="6" fillId="7" borderId="27" xfId="1" applyNumberFormat="1" applyFont="1" applyFill="1" applyBorder="1" applyAlignment="1">
      <alignment horizontal="center"/>
    </xf>
    <xf numFmtId="14" fontId="4" fillId="7" borderId="26" xfId="1" applyNumberFormat="1" applyFont="1" applyFill="1" applyBorder="1" applyAlignment="1">
      <alignment horizontal="center"/>
    </xf>
    <xf numFmtId="14" fontId="4" fillId="5" borderId="23" xfId="1" applyNumberFormat="1" applyFont="1" applyFill="1" applyBorder="1" applyAlignment="1">
      <alignment horizontal="center"/>
    </xf>
    <xf numFmtId="14" fontId="4" fillId="7" borderId="23" xfId="1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/>
    </xf>
    <xf numFmtId="0" fontId="11" fillId="0" borderId="56" xfId="0" applyNumberFormat="1" applyFont="1" applyFill="1" applyBorder="1" applyAlignment="1">
      <alignment horizontal="center"/>
    </xf>
    <xf numFmtId="0" fontId="4" fillId="9" borderId="24" xfId="1" applyNumberFormat="1" applyFont="1" applyFill="1" applyBorder="1" applyAlignment="1">
      <alignment horizontal="center"/>
    </xf>
    <xf numFmtId="0" fontId="11" fillId="10" borderId="19" xfId="1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4" fillId="9" borderId="53" xfId="0" applyNumberFormat="1" applyFont="1" applyFill="1" applyBorder="1" applyAlignment="1">
      <alignment horizontal="center"/>
    </xf>
    <xf numFmtId="0" fontId="6" fillId="11" borderId="13" xfId="1" applyNumberFormat="1" applyFont="1" applyFill="1" applyBorder="1" applyAlignment="1">
      <alignment horizontal="center"/>
    </xf>
    <xf numFmtId="44" fontId="3" fillId="0" borderId="0" xfId="1" applyFont="1" applyFill="1"/>
    <xf numFmtId="44" fontId="3" fillId="0" borderId="0" xfId="1" applyFont="1" applyFill="1" applyAlignment="1">
      <alignment horizontal="right"/>
    </xf>
    <xf numFmtId="14" fontId="15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2" fontId="8" fillId="2" borderId="38" xfId="1" applyNumberFormat="1" applyFont="1" applyFill="1" applyBorder="1" applyAlignment="1">
      <alignment horizontal="left"/>
    </xf>
    <xf numFmtId="0" fontId="10" fillId="6" borderId="23" xfId="0" quotePrefix="1" applyFont="1" applyFill="1" applyBorder="1" applyAlignment="1">
      <alignment horizontal="center"/>
    </xf>
    <xf numFmtId="0" fontId="10" fillId="4" borderId="23" xfId="0" quotePrefix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12" fillId="0" borderId="0" xfId="0" quotePrefix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9" fontId="16" fillId="0" borderId="0" xfId="3" applyNumberForma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center"/>
    </xf>
    <xf numFmtId="42" fontId="9" fillId="2" borderId="1" xfId="1" applyNumberFormat="1" applyFont="1" applyFill="1" applyBorder="1" applyAlignment="1">
      <alignment horizontal="center"/>
    </xf>
    <xf numFmtId="0" fontId="10" fillId="4" borderId="23" xfId="0" quotePrefix="1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6" fillId="7" borderId="23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center"/>
    </xf>
    <xf numFmtId="0" fontId="10" fillId="6" borderId="23" xfId="0" quotePrefix="1" applyNumberFormat="1" applyFont="1" applyFill="1" applyBorder="1" applyAlignment="1">
      <alignment horizontal="center"/>
    </xf>
    <xf numFmtId="0" fontId="6" fillId="5" borderId="23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6" fillId="6" borderId="16" xfId="0" applyNumberFormat="1" applyFont="1" applyFill="1" applyBorder="1" applyAlignment="1">
      <alignment horizontal="center"/>
    </xf>
    <xf numFmtId="42" fontId="8" fillId="0" borderId="0" xfId="1" applyNumberFormat="1" applyFont="1" applyFill="1" applyBorder="1" applyAlignment="1">
      <alignment horizontal="left"/>
    </xf>
    <xf numFmtId="42" fontId="9" fillId="0" borderId="0" xfId="1" applyNumberFormat="1" applyFont="1" applyFill="1" applyBorder="1" applyAlignment="1">
      <alignment horizontal="center"/>
    </xf>
    <xf numFmtId="0" fontId="10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2" fontId="8" fillId="2" borderId="36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42" fontId="19" fillId="0" borderId="0" xfId="0" applyNumberFormat="1" applyFont="1"/>
    <xf numFmtId="44" fontId="19" fillId="0" borderId="0" xfId="1" applyFont="1"/>
    <xf numFmtId="44" fontId="3" fillId="0" borderId="0" xfId="0" applyNumberFormat="1" applyFont="1"/>
    <xf numFmtId="44" fontId="4" fillId="0" borderId="72" xfId="0" applyNumberFormat="1" applyFont="1" applyFill="1" applyBorder="1" applyAlignment="1">
      <alignment horizontal="center"/>
    </xf>
    <xf numFmtId="44" fontId="4" fillId="0" borderId="15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20" fillId="0" borderId="72" xfId="1" applyFont="1" applyFill="1" applyBorder="1" applyAlignment="1">
      <alignment horizontal="center"/>
    </xf>
    <xf numFmtId="44" fontId="20" fillId="0" borderId="47" xfId="1" applyFont="1" applyFill="1" applyBorder="1" applyAlignment="1">
      <alignment horizontal="center"/>
    </xf>
    <xf numFmtId="44" fontId="20" fillId="0" borderId="15" xfId="1" applyFont="1" applyFill="1" applyBorder="1" applyAlignment="1">
      <alignment horizontal="center"/>
    </xf>
    <xf numFmtId="44" fontId="0" fillId="0" borderId="0" xfId="0" applyNumberFormat="1"/>
    <xf numFmtId="44" fontId="6" fillId="3" borderId="16" xfId="1" applyFont="1" applyFill="1" applyBorder="1" applyAlignment="1">
      <alignment horizontal="center"/>
    </xf>
    <xf numFmtId="44" fontId="4" fillId="7" borderId="23" xfId="0" applyNumberFormat="1" applyFont="1" applyFill="1" applyBorder="1" applyAlignment="1">
      <alignment horizontal="center"/>
    </xf>
    <xf numFmtId="44" fontId="4" fillId="5" borderId="23" xfId="0" applyNumberFormat="1" applyFont="1" applyFill="1" applyBorder="1" applyAlignment="1">
      <alignment horizontal="center"/>
    </xf>
    <xf numFmtId="42" fontId="9" fillId="2" borderId="83" xfId="1" applyNumberFormat="1" applyFont="1" applyFill="1" applyBorder="1" applyAlignment="1">
      <alignment horizontal="center"/>
    </xf>
    <xf numFmtId="0" fontId="10" fillId="4" borderId="53" xfId="0" quotePrefix="1" applyNumberFormat="1" applyFont="1" applyFill="1" applyBorder="1" applyAlignment="1">
      <alignment horizontal="center"/>
    </xf>
    <xf numFmtId="44" fontId="21" fillId="0" borderId="54" xfId="0" applyNumberFormat="1" applyFont="1" applyFill="1" applyBorder="1" applyAlignment="1">
      <alignment horizontal="center"/>
    </xf>
    <xf numFmtId="44" fontId="21" fillId="0" borderId="55" xfId="0" applyNumberFormat="1" applyFont="1" applyFill="1" applyBorder="1" applyAlignment="1">
      <alignment horizontal="center"/>
    </xf>
    <xf numFmtId="44" fontId="21" fillId="0" borderId="83" xfId="0" applyNumberFormat="1" applyFont="1" applyFill="1" applyBorder="1" applyAlignment="1">
      <alignment horizontal="center"/>
    </xf>
    <xf numFmtId="44" fontId="22" fillId="7" borderId="53" xfId="0" applyNumberFormat="1" applyFont="1" applyFill="1" applyBorder="1" applyAlignment="1">
      <alignment horizontal="center"/>
    </xf>
    <xf numFmtId="0" fontId="20" fillId="0" borderId="54" xfId="0" quotePrefix="1" applyNumberFormat="1" applyFont="1" applyFill="1" applyBorder="1" applyAlignment="1">
      <alignment horizontal="center"/>
    </xf>
    <xf numFmtId="0" fontId="20" fillId="0" borderId="56" xfId="0" quotePrefix="1" applyNumberFormat="1" applyFont="1" applyFill="1" applyBorder="1" applyAlignment="1">
      <alignment horizontal="center"/>
    </xf>
    <xf numFmtId="0" fontId="10" fillId="6" borderId="53" xfId="0" quotePrefix="1" applyNumberFormat="1" applyFont="1" applyFill="1" applyBorder="1" applyAlignment="1">
      <alignment horizontal="center"/>
    </xf>
    <xf numFmtId="44" fontId="21" fillId="0" borderId="55" xfId="1" applyFont="1" applyFill="1" applyBorder="1" applyAlignment="1">
      <alignment horizontal="center"/>
    </xf>
    <xf numFmtId="44" fontId="21" fillId="0" borderId="83" xfId="1" applyFont="1" applyFill="1" applyBorder="1" applyAlignment="1">
      <alignment horizontal="center"/>
    </xf>
    <xf numFmtId="44" fontId="22" fillId="5" borderId="53" xfId="0" applyNumberFormat="1" applyFont="1" applyFill="1" applyBorder="1" applyAlignment="1">
      <alignment horizontal="center"/>
    </xf>
    <xf numFmtId="0" fontId="20" fillId="0" borderId="55" xfId="0" quotePrefix="1" applyNumberFormat="1" applyFont="1" applyFill="1" applyBorder="1" applyAlignment="1">
      <alignment horizontal="center"/>
    </xf>
    <xf numFmtId="44" fontId="18" fillId="0" borderId="47" xfId="1" applyFont="1" applyBorder="1"/>
    <xf numFmtId="0" fontId="23" fillId="0" borderId="56" xfId="0" quotePrefix="1" applyFont="1" applyBorder="1" applyAlignment="1">
      <alignment horizontal="center"/>
    </xf>
    <xf numFmtId="44" fontId="11" fillId="0" borderId="18" xfId="1" applyFont="1" applyFill="1" applyBorder="1" applyAlignment="1">
      <alignment horizontal="center"/>
    </xf>
    <xf numFmtId="44" fontId="11" fillId="0" borderId="57" xfId="0" quotePrefix="1" applyNumberFormat="1" applyFont="1" applyFill="1" applyBorder="1" applyAlignment="1">
      <alignment horizontal="center"/>
    </xf>
    <xf numFmtId="0" fontId="11" fillId="0" borderId="23" xfId="0" applyFont="1" applyFill="1" applyBorder="1"/>
    <xf numFmtId="44" fontId="11" fillId="0" borderId="23" xfId="1" applyFont="1" applyFill="1" applyBorder="1" applyAlignment="1">
      <alignment horizontal="center"/>
    </xf>
    <xf numFmtId="44" fontId="11" fillId="0" borderId="53" xfId="0" applyNumberFormat="1" applyFont="1" applyFill="1" applyBorder="1" applyAlignment="1">
      <alignment horizontal="center"/>
    </xf>
    <xf numFmtId="0" fontId="6" fillId="3" borderId="11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4" fontId="11" fillId="4" borderId="53" xfId="1" quotePrefix="1" applyFont="1" applyFill="1" applyBorder="1" applyAlignment="1">
      <alignment horizontal="center"/>
    </xf>
    <xf numFmtId="0" fontId="11" fillId="4" borderId="23" xfId="0" quotePrefix="1" applyNumberFormat="1" applyFont="1" applyFill="1" applyBorder="1" applyAlignment="1">
      <alignment horizontal="center"/>
    </xf>
    <xf numFmtId="0" fontId="12" fillId="0" borderId="18" xfId="0" quotePrefix="1" applyNumberFormat="1" applyFont="1" applyFill="1" applyBorder="1" applyAlignment="1">
      <alignment horizontal="center"/>
    </xf>
    <xf numFmtId="0" fontId="12" fillId="0" borderId="47" xfId="0" quotePrefix="1" applyNumberFormat="1" applyFont="1" applyFill="1" applyBorder="1" applyAlignment="1">
      <alignment horizontal="center"/>
    </xf>
    <xf numFmtId="44" fontId="11" fillId="6" borderId="53" xfId="1" quotePrefix="1" applyFont="1" applyFill="1" applyBorder="1" applyAlignment="1">
      <alignment horizontal="center"/>
    </xf>
    <xf numFmtId="0" fontId="11" fillId="6" borderId="23" xfId="0" quotePrefix="1" applyNumberFormat="1" applyFont="1" applyFill="1" applyBorder="1" applyAlignment="1">
      <alignment horizontal="center"/>
    </xf>
    <xf numFmtId="0" fontId="12" fillId="0" borderId="15" xfId="0" quotePrefix="1" applyNumberFormat="1" applyFont="1" applyFill="1" applyBorder="1" applyAlignment="1">
      <alignment horizontal="center"/>
    </xf>
    <xf numFmtId="42" fontId="24" fillId="3" borderId="16" xfId="1" applyNumberFormat="1" applyFont="1" applyFill="1" applyBorder="1" applyAlignment="1">
      <alignment horizontal="center"/>
    </xf>
    <xf numFmtId="14" fontId="24" fillId="3" borderId="11" xfId="1" applyNumberFormat="1" applyFont="1" applyFill="1" applyBorder="1" applyAlignment="1">
      <alignment horizontal="center"/>
    </xf>
    <xf numFmtId="0" fontId="24" fillId="3" borderId="16" xfId="0" applyNumberFormat="1" applyFont="1" applyFill="1" applyBorder="1" applyAlignment="1">
      <alignment horizontal="center"/>
    </xf>
    <xf numFmtId="0" fontId="24" fillId="3" borderId="5" xfId="0" applyNumberFormat="1" applyFont="1" applyFill="1" applyBorder="1" applyAlignment="1">
      <alignment horizontal="center"/>
    </xf>
    <xf numFmtId="14" fontId="4" fillId="0" borderId="54" xfId="1" applyNumberFormat="1" applyFont="1" applyFill="1" applyBorder="1" applyAlignment="1">
      <alignment horizontal="center"/>
    </xf>
    <xf numFmtId="0" fontId="4" fillId="0" borderId="72" xfId="0" applyNumberFormat="1" applyFont="1" applyFill="1" applyBorder="1" applyAlignment="1">
      <alignment horizontal="center"/>
    </xf>
    <xf numFmtId="14" fontId="17" fillId="0" borderId="15" xfId="3" applyNumberFormat="1" applyFont="1" applyFill="1" applyBorder="1" applyAlignment="1">
      <alignment horizontal="center"/>
    </xf>
    <xf numFmtId="14" fontId="4" fillId="0" borderId="55" xfId="1" applyNumberFormat="1" applyFont="1" applyFill="1" applyBorder="1" applyAlignment="1">
      <alignment horizontal="center"/>
    </xf>
    <xf numFmtId="0" fontId="17" fillId="0" borderId="15" xfId="3" applyNumberFormat="1" applyFont="1" applyFill="1" applyBorder="1" applyAlignment="1">
      <alignment horizontal="center"/>
    </xf>
    <xf numFmtId="0" fontId="17" fillId="0" borderId="4" xfId="3" applyNumberFormat="1" applyFont="1" applyFill="1" applyBorder="1" applyAlignment="1">
      <alignment horizontal="center"/>
    </xf>
    <xf numFmtId="9" fontId="17" fillId="0" borderId="4" xfId="3" applyNumberFormat="1" applyFont="1" applyFill="1" applyBorder="1" applyAlignment="1">
      <alignment horizontal="center"/>
    </xf>
    <xf numFmtId="14" fontId="17" fillId="0" borderId="47" xfId="3" applyNumberFormat="1" applyFont="1" applyFill="1" applyBorder="1" applyAlignment="1">
      <alignment horizontal="center"/>
    </xf>
    <xf numFmtId="14" fontId="4" fillId="0" borderId="56" xfId="1" applyNumberFormat="1" applyFont="1" applyFill="1" applyBorder="1" applyAlignment="1">
      <alignment horizontal="center"/>
    </xf>
    <xf numFmtId="0" fontId="17" fillId="0" borderId="47" xfId="3" applyNumberFormat="1" applyFont="1" applyFill="1" applyBorder="1" applyAlignment="1">
      <alignment horizontal="center"/>
    </xf>
    <xf numFmtId="0" fontId="17" fillId="0" borderId="48" xfId="3" applyNumberFormat="1" applyFont="1" applyFill="1" applyBorder="1" applyAlignment="1">
      <alignment horizontal="center"/>
    </xf>
    <xf numFmtId="9" fontId="17" fillId="0" borderId="48" xfId="3" applyNumberFormat="1" applyFont="1" applyFill="1" applyBorder="1" applyAlignment="1">
      <alignment horizontal="center"/>
    </xf>
    <xf numFmtId="14" fontId="4" fillId="7" borderId="53" xfId="1" applyNumberFormat="1" applyFont="1" applyFill="1" applyBorder="1" applyAlignment="1">
      <alignment horizontal="center"/>
    </xf>
    <xf numFmtId="0" fontId="4" fillId="7" borderId="23" xfId="0" applyNumberFormat="1" applyFont="1" applyFill="1" applyBorder="1" applyAlignment="1">
      <alignment horizontal="center"/>
    </xf>
    <xf numFmtId="44" fontId="4" fillId="0" borderId="56" xfId="1" quotePrefix="1" applyFont="1" applyFill="1" applyBorder="1" applyAlignment="1">
      <alignment horizontal="center"/>
    </xf>
    <xf numFmtId="14" fontId="4" fillId="5" borderId="53" xfId="1" applyNumberFormat="1" applyFont="1" applyFill="1" applyBorder="1" applyAlignment="1">
      <alignment horizontal="center"/>
    </xf>
    <xf numFmtId="0" fontId="4" fillId="5" borderId="23" xfId="0" applyNumberFormat="1" applyFont="1" applyFill="1" applyBorder="1" applyAlignment="1">
      <alignment horizontal="center"/>
    </xf>
    <xf numFmtId="0" fontId="11" fillId="4" borderId="25" xfId="1" quotePrefix="1" applyNumberFormat="1" applyFont="1" applyFill="1" applyBorder="1" applyAlignment="1">
      <alignment horizontal="center"/>
    </xf>
    <xf numFmtId="0" fontId="11" fillId="6" borderId="25" xfId="1" quotePrefix="1" applyNumberFormat="1" applyFont="1" applyFill="1" applyBorder="1" applyAlignment="1">
      <alignment horizontal="center"/>
    </xf>
    <xf numFmtId="0" fontId="9" fillId="2" borderId="8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4" fillId="0" borderId="51" xfId="1" applyNumberFormat="1" applyFont="1" applyFill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/>
    </xf>
    <xf numFmtId="164" fontId="11" fillId="0" borderId="51" xfId="1" applyNumberFormat="1" applyFont="1" applyFill="1" applyBorder="1" applyAlignment="1">
      <alignment horizontal="center"/>
    </xf>
    <xf numFmtId="164" fontId="11" fillId="0" borderId="6" xfId="1" applyNumberFormat="1" applyFont="1" applyFill="1" applyBorder="1" applyAlignment="1">
      <alignment horizontal="center"/>
    </xf>
    <xf numFmtId="164" fontId="4" fillId="5" borderId="25" xfId="1" quotePrefix="1" applyNumberFormat="1" applyFont="1" applyFill="1" applyBorder="1" applyAlignment="1">
      <alignment horizontal="center"/>
    </xf>
    <xf numFmtId="164" fontId="4" fillId="7" borderId="25" xfId="1" quotePrefix="1" applyNumberFormat="1" applyFont="1" applyFill="1" applyBorder="1" applyAlignment="1">
      <alignment horizontal="center"/>
    </xf>
    <xf numFmtId="0" fontId="11" fillId="4" borderId="23" xfId="1" quotePrefix="1" applyNumberFormat="1" applyFont="1" applyFill="1" applyBorder="1" applyAlignment="1">
      <alignment horizontal="center"/>
    </xf>
    <xf numFmtId="0" fontId="4" fillId="0" borderId="72" xfId="1" applyNumberFormat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47" xfId="1" applyNumberFormat="1" applyFont="1" applyFill="1" applyBorder="1" applyAlignment="1">
      <alignment horizontal="center"/>
    </xf>
    <xf numFmtId="0" fontId="4" fillId="7" borderId="23" xfId="1" quotePrefix="1" applyNumberFormat="1" applyFont="1" applyFill="1" applyBorder="1" applyAlignment="1">
      <alignment horizontal="center"/>
    </xf>
    <xf numFmtId="0" fontId="11" fillId="0" borderId="18" xfId="1" applyNumberFormat="1" applyFont="1" applyFill="1" applyBorder="1" applyAlignment="1">
      <alignment horizontal="center"/>
    </xf>
    <xf numFmtId="0" fontId="11" fillId="0" borderId="47" xfId="1" applyNumberFormat="1" applyFont="1" applyFill="1" applyBorder="1" applyAlignment="1">
      <alignment horizontal="center"/>
    </xf>
    <xf numFmtId="0" fontId="11" fillId="6" borderId="23" xfId="1" quotePrefix="1" applyNumberFormat="1" applyFont="1" applyFill="1" applyBorder="1" applyAlignment="1">
      <alignment horizontal="center"/>
    </xf>
    <xf numFmtId="0" fontId="4" fillId="5" borderId="23" xfId="1" quotePrefix="1" applyNumberFormat="1" applyFont="1" applyFill="1" applyBorder="1" applyAlignment="1">
      <alignment horizontal="center"/>
    </xf>
    <xf numFmtId="0" fontId="11" fillId="0" borderId="15" xfId="1" applyNumberFormat="1" applyFont="1" applyFill="1" applyBorder="1" applyAlignment="1">
      <alignment horizontal="center"/>
    </xf>
    <xf numFmtId="0" fontId="6" fillId="3" borderId="16" xfId="1" applyNumberFormat="1" applyFont="1" applyFill="1" applyBorder="1" applyAlignment="1">
      <alignment horizontal="center"/>
    </xf>
    <xf numFmtId="0" fontId="11" fillId="4" borderId="73" xfId="1" quotePrefix="1" applyNumberFormat="1" applyFont="1" applyFill="1" applyBorder="1" applyAlignment="1">
      <alignment horizontal="center"/>
    </xf>
    <xf numFmtId="0" fontId="4" fillId="0" borderId="74" xfId="1" applyNumberFormat="1" applyFont="1" applyFill="1" applyBorder="1" applyAlignment="1">
      <alignment horizontal="center"/>
    </xf>
    <xf numFmtId="0" fontId="4" fillId="0" borderId="79" xfId="1" applyNumberFormat="1" applyFont="1" applyFill="1" applyBorder="1" applyAlignment="1">
      <alignment horizontal="center"/>
    </xf>
    <xf numFmtId="0" fontId="4" fillId="0" borderId="81" xfId="1" applyNumberFormat="1" applyFont="1" applyFill="1" applyBorder="1" applyAlignment="1">
      <alignment horizontal="center"/>
    </xf>
    <xf numFmtId="0" fontId="4" fillId="7" borderId="73" xfId="1" quotePrefix="1" applyNumberFormat="1" applyFont="1" applyFill="1" applyBorder="1" applyAlignment="1">
      <alignment horizontal="center"/>
    </xf>
    <xf numFmtId="0" fontId="11" fillId="0" borderId="84" xfId="1" applyNumberFormat="1" applyFont="1" applyFill="1" applyBorder="1" applyAlignment="1">
      <alignment horizontal="center"/>
    </xf>
    <xf numFmtId="0" fontId="11" fillId="0" borderId="81" xfId="1" applyNumberFormat="1" applyFont="1" applyFill="1" applyBorder="1" applyAlignment="1">
      <alignment horizontal="center"/>
    </xf>
    <xf numFmtId="0" fontId="11" fillId="6" borderId="73" xfId="1" quotePrefix="1" applyNumberFormat="1" applyFont="1" applyFill="1" applyBorder="1" applyAlignment="1">
      <alignment horizontal="center"/>
    </xf>
    <xf numFmtId="0" fontId="4" fillId="5" borderId="73" xfId="1" quotePrefix="1" applyNumberFormat="1" applyFont="1" applyFill="1" applyBorder="1" applyAlignment="1">
      <alignment horizontal="center"/>
    </xf>
    <xf numFmtId="0" fontId="11" fillId="0" borderId="79" xfId="1" applyNumberFormat="1" applyFont="1" applyFill="1" applyBorder="1" applyAlignment="1">
      <alignment horizontal="center"/>
    </xf>
    <xf numFmtId="0" fontId="6" fillId="3" borderId="75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9" fillId="2" borderId="34" xfId="1" applyNumberFormat="1" applyFont="1" applyFill="1" applyBorder="1" applyAlignment="1">
      <alignment horizontal="center"/>
    </xf>
    <xf numFmtId="0" fontId="11" fillId="4" borderId="88" xfId="2" quotePrefix="1" applyNumberFormat="1" applyFont="1" applyFill="1" applyBorder="1" applyAlignment="1">
      <alignment horizontal="center"/>
    </xf>
    <xf numFmtId="0" fontId="4" fillId="0" borderId="89" xfId="2" applyNumberFormat="1" applyFont="1" applyFill="1" applyBorder="1" applyAlignment="1">
      <alignment horizontal="center"/>
    </xf>
    <xf numFmtId="0" fontId="4" fillId="0" borderId="90" xfId="2" applyNumberFormat="1" applyFont="1" applyFill="1" applyBorder="1" applyAlignment="1">
      <alignment horizontal="center"/>
    </xf>
    <xf numFmtId="0" fontId="4" fillId="7" borderId="88" xfId="2" quotePrefix="1" applyNumberFormat="1" applyFont="1" applyFill="1" applyBorder="1" applyAlignment="1">
      <alignment horizontal="center"/>
    </xf>
    <xf numFmtId="0" fontId="11" fillId="0" borderId="91" xfId="2" applyNumberFormat="1" applyFont="1" applyFill="1" applyBorder="1" applyAlignment="1">
      <alignment horizontal="center"/>
    </xf>
    <xf numFmtId="0" fontId="11" fillId="0" borderId="90" xfId="2" applyNumberFormat="1" applyFont="1" applyFill="1" applyBorder="1" applyAlignment="1">
      <alignment horizontal="center"/>
    </xf>
    <xf numFmtId="0" fontId="11" fillId="6" borderId="88" xfId="2" quotePrefix="1" applyNumberFormat="1" applyFont="1" applyFill="1" applyBorder="1" applyAlignment="1">
      <alignment horizontal="center"/>
    </xf>
    <xf numFmtId="0" fontId="4" fillId="5" borderId="88" xfId="2" quotePrefix="1" applyNumberFormat="1" applyFont="1" applyFill="1" applyBorder="1" applyAlignment="1">
      <alignment horizontal="center"/>
    </xf>
    <xf numFmtId="0" fontId="11" fillId="0" borderId="89" xfId="2" applyNumberFormat="1" applyFont="1" applyFill="1" applyBorder="1" applyAlignment="1">
      <alignment horizontal="center"/>
    </xf>
    <xf numFmtId="0" fontId="6" fillId="3" borderId="12" xfId="2" applyNumberFormat="1" applyFont="1" applyFill="1" applyBorder="1" applyAlignment="1">
      <alignment horizontal="center"/>
    </xf>
    <xf numFmtId="165" fontId="4" fillId="0" borderId="54" xfId="1" applyNumberFormat="1" applyFont="1" applyFill="1" applyBorder="1" applyAlignment="1">
      <alignment horizontal="center"/>
    </xf>
    <xf numFmtId="165" fontId="4" fillId="0" borderId="55" xfId="1" applyNumberFormat="1" applyFont="1" applyFill="1" applyBorder="1" applyAlignment="1">
      <alignment horizontal="center"/>
    </xf>
    <xf numFmtId="165" fontId="4" fillId="0" borderId="56" xfId="1" applyNumberFormat="1" applyFont="1" applyFill="1" applyBorder="1" applyAlignment="1">
      <alignment horizontal="center"/>
    </xf>
    <xf numFmtId="165" fontId="4" fillId="7" borderId="53" xfId="1" quotePrefix="1" applyNumberFormat="1" applyFont="1" applyFill="1" applyBorder="1" applyAlignment="1">
      <alignment horizontal="center"/>
    </xf>
    <xf numFmtId="165" fontId="11" fillId="0" borderId="57" xfId="1" applyNumberFormat="1" applyFont="1" applyFill="1" applyBorder="1" applyAlignment="1">
      <alignment horizontal="center"/>
    </xf>
    <xf numFmtId="165" fontId="11" fillId="0" borderId="56" xfId="1" applyNumberFormat="1" applyFont="1" applyFill="1" applyBorder="1" applyAlignment="1">
      <alignment horizontal="center"/>
    </xf>
    <xf numFmtId="165" fontId="4" fillId="5" borderId="53" xfId="1" quotePrefix="1" applyNumberFormat="1" applyFont="1" applyFill="1" applyBorder="1" applyAlignment="1">
      <alignment horizontal="center"/>
    </xf>
    <xf numFmtId="165" fontId="11" fillId="0" borderId="55" xfId="1" applyNumberFormat="1" applyFont="1" applyFill="1" applyBorder="1" applyAlignment="1">
      <alignment horizontal="center"/>
    </xf>
    <xf numFmtId="165" fontId="6" fillId="3" borderId="11" xfId="1" applyNumberFormat="1" applyFont="1" applyFill="1" applyBorder="1" applyAlignment="1">
      <alignment horizontal="center"/>
    </xf>
    <xf numFmtId="0" fontId="4" fillId="7" borderId="27" xfId="1" quotePrefix="1" applyNumberFormat="1" applyFont="1" applyFill="1" applyBorder="1" applyAlignment="1">
      <alignment horizontal="center"/>
    </xf>
    <xf numFmtId="0" fontId="4" fillId="5" borderId="27" xfId="1" quotePrefix="1" applyNumberFormat="1" applyFont="1" applyFill="1" applyBorder="1" applyAlignment="1">
      <alignment horizontal="center"/>
    </xf>
    <xf numFmtId="10" fontId="4" fillId="0" borderId="69" xfId="2" applyNumberFormat="1" applyFont="1" applyFill="1" applyBorder="1" applyAlignment="1">
      <alignment horizontal="center"/>
    </xf>
    <xf numFmtId="10" fontId="4" fillId="0" borderId="70" xfId="2" applyNumberFormat="1" applyFont="1" applyFill="1" applyBorder="1" applyAlignment="1">
      <alignment horizontal="center"/>
    </xf>
    <xf numFmtId="10" fontId="4" fillId="7" borderId="67" xfId="2" quotePrefix="1" applyNumberFormat="1" applyFont="1" applyFill="1" applyBorder="1" applyAlignment="1">
      <alignment horizontal="center"/>
    </xf>
    <xf numFmtId="10" fontId="11" fillId="0" borderId="71" xfId="2" applyNumberFormat="1" applyFont="1" applyFill="1" applyBorder="1" applyAlignment="1">
      <alignment horizontal="center"/>
    </xf>
    <xf numFmtId="10" fontId="11" fillId="0" borderId="70" xfId="2" applyNumberFormat="1" applyFont="1" applyFill="1" applyBorder="1" applyAlignment="1">
      <alignment horizontal="center"/>
    </xf>
    <xf numFmtId="10" fontId="4" fillId="5" borderId="67" xfId="2" quotePrefix="1" applyNumberFormat="1" applyFont="1" applyFill="1" applyBorder="1" applyAlignment="1">
      <alignment horizontal="center"/>
    </xf>
    <xf numFmtId="10" fontId="11" fillId="0" borderId="69" xfId="2" applyNumberFormat="1" applyFont="1" applyFill="1" applyBorder="1" applyAlignment="1">
      <alignment horizontal="center"/>
    </xf>
    <xf numFmtId="10" fontId="6" fillId="3" borderId="7" xfId="2" applyNumberFormat="1" applyFont="1" applyFill="1" applyBorder="1" applyAlignment="1">
      <alignment horizontal="center"/>
    </xf>
    <xf numFmtId="0" fontId="11" fillId="4" borderId="76" xfId="1" quotePrefix="1" applyNumberFormat="1" applyFont="1" applyFill="1" applyBorder="1" applyAlignment="1">
      <alignment horizontal="center"/>
    </xf>
    <xf numFmtId="0" fontId="11" fillId="6" borderId="76" xfId="1" quotePrefix="1" applyNumberFormat="1" applyFont="1" applyFill="1" applyBorder="1" applyAlignment="1">
      <alignment horizontal="center"/>
    </xf>
    <xf numFmtId="10" fontId="4" fillId="0" borderId="77" xfId="1" applyNumberFormat="1" applyFont="1" applyFill="1" applyBorder="1" applyAlignment="1">
      <alignment horizontal="center"/>
    </xf>
    <xf numFmtId="10" fontId="4" fillId="0" borderId="80" xfId="1" applyNumberFormat="1" applyFont="1" applyFill="1" applyBorder="1" applyAlignment="1">
      <alignment horizontal="center"/>
    </xf>
    <xf numFmtId="10" fontId="4" fillId="0" borderId="82" xfId="1" applyNumberFormat="1" applyFont="1" applyFill="1" applyBorder="1" applyAlignment="1">
      <alignment horizontal="center"/>
    </xf>
    <xf numFmtId="10" fontId="4" fillId="7" borderId="76" xfId="1" quotePrefix="1" applyNumberFormat="1" applyFont="1" applyFill="1" applyBorder="1" applyAlignment="1">
      <alignment horizontal="center"/>
    </xf>
    <xf numFmtId="10" fontId="11" fillId="0" borderId="85" xfId="1" applyNumberFormat="1" applyFont="1" applyFill="1" applyBorder="1" applyAlignment="1">
      <alignment horizontal="center"/>
    </xf>
    <xf numFmtId="10" fontId="11" fillId="0" borderId="82" xfId="1" applyNumberFormat="1" applyFont="1" applyFill="1" applyBorder="1" applyAlignment="1">
      <alignment horizontal="center"/>
    </xf>
    <xf numFmtId="10" fontId="4" fillId="5" borderId="76" xfId="1" quotePrefix="1" applyNumberFormat="1" applyFont="1" applyFill="1" applyBorder="1" applyAlignment="1">
      <alignment horizontal="center"/>
    </xf>
    <xf numFmtId="10" fontId="11" fillId="0" borderId="80" xfId="1" applyNumberFormat="1" applyFont="1" applyFill="1" applyBorder="1" applyAlignment="1">
      <alignment horizontal="center"/>
    </xf>
    <xf numFmtId="10" fontId="6" fillId="3" borderId="78" xfId="1" applyNumberFormat="1" applyFont="1" applyFill="1" applyBorder="1" applyAlignment="1">
      <alignment horizontal="center"/>
    </xf>
    <xf numFmtId="0" fontId="4" fillId="0" borderId="92" xfId="1" applyNumberFormat="1" applyFont="1" applyFill="1" applyBorder="1" applyAlignment="1">
      <alignment horizontal="center"/>
    </xf>
    <xf numFmtId="0" fontId="4" fillId="7" borderId="62" xfId="1" quotePrefix="1" applyNumberFormat="1" applyFont="1" applyFill="1" applyBorder="1" applyAlignment="1">
      <alignment horizontal="center"/>
    </xf>
    <xf numFmtId="0" fontId="4" fillId="5" borderId="62" xfId="1" quotePrefix="1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2" fontId="4" fillId="0" borderId="68" xfId="1" applyNumberFormat="1" applyFont="1" applyFill="1" applyBorder="1" applyAlignment="1">
      <alignment horizontal="center"/>
    </xf>
    <xf numFmtId="2" fontId="4" fillId="0" borderId="69" xfId="1" applyNumberFormat="1" applyFont="1" applyFill="1" applyBorder="1" applyAlignment="1">
      <alignment horizontal="center"/>
    </xf>
    <xf numFmtId="2" fontId="4" fillId="0" borderId="70" xfId="1" applyNumberFormat="1" applyFont="1" applyFill="1" applyBorder="1" applyAlignment="1">
      <alignment horizontal="center"/>
    </xf>
    <xf numFmtId="2" fontId="11" fillId="0" borderId="71" xfId="1" applyNumberFormat="1" applyFont="1" applyFill="1" applyBorder="1" applyAlignment="1">
      <alignment horizontal="center"/>
    </xf>
    <xf numFmtId="2" fontId="11" fillId="0" borderId="70" xfId="1" applyNumberFormat="1" applyFont="1" applyFill="1" applyBorder="1" applyAlignment="1">
      <alignment horizontal="center"/>
    </xf>
    <xf numFmtId="2" fontId="11" fillId="0" borderId="69" xfId="1" applyNumberFormat="1" applyFont="1" applyFill="1" applyBorder="1" applyAlignment="1">
      <alignment horizontal="center"/>
    </xf>
    <xf numFmtId="0" fontId="6" fillId="3" borderId="66" xfId="1" quotePrefix="1" applyNumberFormat="1" applyFont="1" applyFill="1" applyBorder="1" applyAlignment="1">
      <alignment horizontal="center"/>
    </xf>
    <xf numFmtId="0" fontId="6" fillId="3" borderId="13" xfId="1" quotePrefix="1" applyNumberFormat="1" applyFont="1" applyFill="1" applyBorder="1" applyAlignment="1">
      <alignment horizontal="center"/>
    </xf>
    <xf numFmtId="42" fontId="9" fillId="2" borderId="40" xfId="1" applyNumberFormat="1" applyFont="1" applyFill="1" applyBorder="1" applyAlignment="1">
      <alignment horizontal="center"/>
    </xf>
    <xf numFmtId="0" fontId="10" fillId="4" borderId="29" xfId="0" quotePrefix="1" applyNumberFormat="1" applyFont="1" applyFill="1" applyBorder="1" applyAlignment="1">
      <alignment horizontal="center"/>
    </xf>
    <xf numFmtId="0" fontId="10" fillId="6" borderId="29" xfId="0" quotePrefix="1" applyNumberFormat="1" applyFont="1" applyFill="1" applyBorder="1" applyAlignment="1">
      <alignment horizontal="center"/>
    </xf>
    <xf numFmtId="9" fontId="12" fillId="0" borderId="19" xfId="0" quotePrefix="1" applyNumberFormat="1" applyFont="1" applyFill="1" applyBorder="1" applyAlignment="1">
      <alignment horizontal="center"/>
    </xf>
    <xf numFmtId="9" fontId="12" fillId="0" borderId="48" xfId="0" quotePrefix="1" applyNumberFormat="1" applyFont="1" applyFill="1" applyBorder="1" applyAlignment="1">
      <alignment horizontal="center"/>
    </xf>
    <xf numFmtId="9" fontId="12" fillId="0" borderId="4" xfId="0" quotePrefix="1" applyNumberFormat="1" applyFont="1" applyFill="1" applyBorder="1" applyAlignment="1">
      <alignment horizontal="center"/>
    </xf>
    <xf numFmtId="167" fontId="4" fillId="0" borderId="68" xfId="1" applyNumberFormat="1" applyFont="1" applyFill="1" applyBorder="1" applyAlignment="1">
      <alignment horizontal="center"/>
    </xf>
    <xf numFmtId="167" fontId="4" fillId="0" borderId="69" xfId="1" applyNumberFormat="1" applyFont="1" applyFill="1" applyBorder="1" applyAlignment="1">
      <alignment horizontal="center"/>
    </xf>
    <xf numFmtId="167" fontId="4" fillId="0" borderId="70" xfId="1" applyNumberFormat="1" applyFont="1" applyFill="1" applyBorder="1" applyAlignment="1">
      <alignment horizontal="center"/>
    </xf>
    <xf numFmtId="167" fontId="11" fillId="0" borderId="71" xfId="1" applyNumberFormat="1" applyFont="1" applyFill="1" applyBorder="1" applyAlignment="1">
      <alignment horizontal="center"/>
    </xf>
    <xf numFmtId="167" fontId="11" fillId="0" borderId="70" xfId="1" applyNumberFormat="1" applyFont="1" applyFill="1" applyBorder="1" applyAlignment="1">
      <alignment horizontal="center"/>
    </xf>
    <xf numFmtId="167" fontId="11" fillId="0" borderId="69" xfId="1" applyNumberFormat="1" applyFont="1" applyFill="1" applyBorder="1" applyAlignment="1">
      <alignment horizontal="center"/>
    </xf>
    <xf numFmtId="167" fontId="6" fillId="3" borderId="66" xfId="1" quotePrefix="1" applyNumberFormat="1" applyFont="1" applyFill="1" applyBorder="1" applyAlignment="1">
      <alignment horizontal="center"/>
    </xf>
    <xf numFmtId="0" fontId="10" fillId="4" borderId="53" xfId="0" applyFont="1" applyFill="1" applyBorder="1"/>
    <xf numFmtId="0" fontId="4" fillId="0" borderId="57" xfId="0" applyFont="1" applyBorder="1"/>
    <xf numFmtId="0" fontId="4" fillId="0" borderId="55" xfId="0" applyFont="1" applyBorder="1"/>
    <xf numFmtId="0" fontId="4" fillId="0" borderId="56" xfId="0" applyFont="1" applyBorder="1"/>
    <xf numFmtId="0" fontId="6" fillId="7" borderId="53" xfId="0" applyFont="1" applyFill="1" applyBorder="1"/>
    <xf numFmtId="0" fontId="11" fillId="0" borderId="57" xfId="0" applyFont="1" applyFill="1" applyBorder="1"/>
    <xf numFmtId="0" fontId="11" fillId="0" borderId="56" xfId="0" applyFont="1" applyFill="1" applyBorder="1"/>
    <xf numFmtId="0" fontId="10" fillId="6" borderId="53" xfId="0" applyFont="1" applyFill="1" applyBorder="1"/>
    <xf numFmtId="0" fontId="6" fillId="5" borderId="53" xfId="0" applyFont="1" applyFill="1" applyBorder="1"/>
    <xf numFmtId="0" fontId="11" fillId="0" borderId="55" xfId="0" applyFont="1" applyFill="1" applyBorder="1"/>
    <xf numFmtId="42" fontId="11" fillId="4" borderId="96" xfId="1" quotePrefix="1" applyNumberFormat="1" applyFont="1" applyFill="1" applyBorder="1" applyAlignment="1">
      <alignment horizontal="center"/>
    </xf>
    <xf numFmtId="42" fontId="11" fillId="0" borderId="97" xfId="1" quotePrefix="1" applyNumberFormat="1" applyFont="1" applyFill="1" applyBorder="1" applyAlignment="1">
      <alignment horizontal="center"/>
    </xf>
    <xf numFmtId="42" fontId="11" fillId="0" borderId="99" xfId="1" quotePrefix="1" applyNumberFormat="1" applyFont="1" applyFill="1" applyBorder="1" applyAlignment="1">
      <alignment horizontal="center"/>
    </xf>
    <xf numFmtId="42" fontId="11" fillId="6" borderId="96" xfId="1" quotePrefix="1" applyNumberFormat="1" applyFont="1" applyFill="1" applyBorder="1" applyAlignment="1">
      <alignment horizontal="center"/>
    </xf>
    <xf numFmtId="42" fontId="11" fillId="0" borderId="98" xfId="1" quotePrefix="1" applyNumberFormat="1" applyFont="1" applyFill="1" applyBorder="1" applyAlignment="1">
      <alignment horizontal="center"/>
    </xf>
    <xf numFmtId="42" fontId="8" fillId="2" borderId="3" xfId="1" applyNumberFormat="1" applyFont="1" applyFill="1" applyBorder="1" applyAlignment="1">
      <alignment horizontal="center"/>
    </xf>
    <xf numFmtId="42" fontId="11" fillId="4" borderId="24" xfId="1" quotePrefix="1" applyNumberFormat="1" applyFont="1" applyFill="1" applyBorder="1" applyAlignment="1">
      <alignment horizontal="center"/>
    </xf>
    <xf numFmtId="42" fontId="11" fillId="0" borderId="19" xfId="1" quotePrefix="1" applyNumberFormat="1" applyFont="1" applyFill="1" applyBorder="1" applyAlignment="1">
      <alignment horizontal="center"/>
    </xf>
    <xf numFmtId="42" fontId="11" fillId="0" borderId="48" xfId="1" quotePrefix="1" applyNumberFormat="1" applyFont="1" applyFill="1" applyBorder="1" applyAlignment="1">
      <alignment horizontal="center"/>
    </xf>
    <xf numFmtId="42" fontId="11" fillId="6" borderId="24" xfId="1" quotePrefix="1" applyNumberFormat="1" applyFont="1" applyFill="1" applyBorder="1" applyAlignment="1">
      <alignment horizontal="center"/>
    </xf>
    <xf numFmtId="42" fontId="11" fillId="0" borderId="4" xfId="1" quotePrefix="1" applyNumberFormat="1" applyFont="1" applyFill="1" applyBorder="1" applyAlignment="1">
      <alignment horizontal="center"/>
    </xf>
    <xf numFmtId="42" fontId="8" fillId="2" borderId="87" xfId="1" applyNumberFormat="1" applyFont="1" applyFill="1" applyBorder="1" applyAlignment="1">
      <alignment horizontal="center"/>
    </xf>
    <xf numFmtId="42" fontId="11" fillId="0" borderId="22" xfId="1" quotePrefix="1" applyNumberFormat="1" applyFont="1" applyFill="1" applyBorder="1" applyAlignment="1">
      <alignment horizontal="center"/>
    </xf>
    <xf numFmtId="42" fontId="11" fillId="0" borderId="50" xfId="1" quotePrefix="1" applyNumberFormat="1" applyFont="1" applyFill="1" applyBorder="1" applyAlignment="1">
      <alignment horizontal="center"/>
    </xf>
    <xf numFmtId="42" fontId="11" fillId="6" borderId="27" xfId="1" quotePrefix="1" applyNumberFormat="1" applyFont="1" applyFill="1" applyBorder="1" applyAlignment="1">
      <alignment horizontal="center"/>
    </xf>
    <xf numFmtId="42" fontId="11" fillId="0" borderId="14" xfId="1" quotePrefix="1" applyNumberFormat="1" applyFont="1" applyFill="1" applyBorder="1" applyAlignment="1">
      <alignment horizontal="center"/>
    </xf>
    <xf numFmtId="42" fontId="11" fillId="4" borderId="27" xfId="1" quotePrefix="1" applyNumberFormat="1" applyFont="1" applyFill="1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0" xfId="0" applyBorder="1"/>
    <xf numFmtId="44" fontId="4" fillId="0" borderId="97" xfId="1" applyNumberFormat="1" applyFont="1" applyFill="1" applyBorder="1" applyAlignment="1">
      <alignment horizontal="center"/>
    </xf>
    <xf numFmtId="44" fontId="4" fillId="0" borderId="19" xfId="1" applyNumberFormat="1" applyFont="1" applyFill="1" applyBorder="1" applyAlignment="1">
      <alignment horizontal="center"/>
    </xf>
    <xf numFmtId="44" fontId="17" fillId="0" borderId="98" xfId="3" applyNumberFormat="1" applyFont="1" applyFill="1" applyBorder="1" applyAlignment="1">
      <alignment horizontal="center"/>
    </xf>
    <xf numFmtId="44" fontId="17" fillId="0" borderId="4" xfId="3" applyNumberFormat="1" applyFont="1" applyFill="1" applyBorder="1" applyAlignment="1">
      <alignment horizontal="center"/>
    </xf>
    <xf numFmtId="44" fontId="17" fillId="0" borderId="99" xfId="3" applyNumberFormat="1" applyFont="1" applyFill="1" applyBorder="1" applyAlignment="1">
      <alignment horizontal="center"/>
    </xf>
    <xf numFmtId="44" fontId="17" fillId="0" borderId="48" xfId="3" applyNumberFormat="1" applyFont="1" applyFill="1" applyBorder="1" applyAlignment="1">
      <alignment horizontal="center"/>
    </xf>
    <xf numFmtId="44" fontId="4" fillId="7" borderId="96" xfId="1" applyNumberFormat="1" applyFont="1" applyFill="1" applyBorder="1" applyAlignment="1">
      <alignment horizontal="center"/>
    </xf>
    <xf numFmtId="44" fontId="4" fillId="7" borderId="24" xfId="1" applyNumberFormat="1" applyFont="1" applyFill="1" applyBorder="1" applyAlignment="1">
      <alignment horizontal="center"/>
    </xf>
    <xf numFmtId="44" fontId="4" fillId="0" borderId="98" xfId="1" applyNumberFormat="1" applyFont="1" applyFill="1" applyBorder="1" applyAlignment="1">
      <alignment horizontal="center"/>
    </xf>
    <xf numFmtId="44" fontId="4" fillId="0" borderId="4" xfId="1" applyNumberFormat="1" applyFont="1" applyFill="1" applyBorder="1" applyAlignment="1">
      <alignment horizontal="center"/>
    </xf>
    <xf numFmtId="44" fontId="4" fillId="0" borderId="99" xfId="1" applyNumberFormat="1" applyFont="1" applyFill="1" applyBorder="1" applyAlignment="1">
      <alignment horizontal="center"/>
    </xf>
    <xf numFmtId="44" fontId="4" fillId="0" borderId="48" xfId="1" applyNumberFormat="1" applyFont="1" applyFill="1" applyBorder="1" applyAlignment="1">
      <alignment horizontal="center"/>
    </xf>
    <xf numFmtId="44" fontId="4" fillId="5" borderId="96" xfId="1" applyNumberFormat="1" applyFont="1" applyFill="1" applyBorder="1" applyAlignment="1">
      <alignment horizontal="center"/>
    </xf>
    <xf numFmtId="44" fontId="4" fillId="5" borderId="24" xfId="1" applyNumberFormat="1" applyFont="1" applyFill="1" applyBorder="1" applyAlignment="1">
      <alignment horizontal="center"/>
    </xf>
    <xf numFmtId="44" fontId="18" fillId="0" borderId="65" xfId="0" applyNumberFormat="1" applyFont="1" applyBorder="1"/>
    <xf numFmtId="44" fontId="18" fillId="0" borderId="48" xfId="1" applyFont="1" applyBorder="1"/>
    <xf numFmtId="44" fontId="18" fillId="0" borderId="50" xfId="1" applyFont="1" applyBorder="1"/>
    <xf numFmtId="44" fontId="18" fillId="0" borderId="62" xfId="0" applyNumberFormat="1" applyFont="1" applyBorder="1"/>
    <xf numFmtId="44" fontId="18" fillId="0" borderId="24" xfId="0" applyNumberFormat="1" applyFont="1" applyBorder="1"/>
    <xf numFmtId="44" fontId="18" fillId="0" borderId="27" xfId="0" applyNumberFormat="1" applyFont="1" applyBorder="1"/>
    <xf numFmtId="44" fontId="6" fillId="3" borderId="61" xfId="1" applyNumberFormat="1" applyFont="1" applyFill="1" applyBorder="1" applyAlignment="1">
      <alignment horizontal="center"/>
    </xf>
    <xf numFmtId="44" fontId="6" fillId="3" borderId="5" xfId="1" applyNumberFormat="1" applyFont="1" applyFill="1" applyBorder="1" applyAlignment="1">
      <alignment horizontal="center"/>
    </xf>
    <xf numFmtId="44" fontId="6" fillId="3" borderId="13" xfId="1" applyNumberFormat="1" applyFont="1" applyFill="1" applyBorder="1" applyAlignment="1">
      <alignment horizontal="center"/>
    </xf>
    <xf numFmtId="44" fontId="18" fillId="0" borderId="63" xfId="0" applyNumberFormat="1" applyFont="1" applyBorder="1"/>
    <xf numFmtId="44" fontId="18" fillId="0" borderId="19" xfId="0" applyNumberFormat="1" applyFont="1" applyBorder="1"/>
    <xf numFmtId="44" fontId="18" fillId="0" borderId="22" xfId="0" applyNumberFormat="1" applyFont="1" applyBorder="1"/>
    <xf numFmtId="44" fontId="6" fillId="10" borderId="22" xfId="1" applyNumberFormat="1" applyFont="1" applyFill="1" applyBorder="1" applyAlignment="1">
      <alignment horizontal="center"/>
    </xf>
    <xf numFmtId="44" fontId="25" fillId="10" borderId="14" xfId="3" applyNumberFormat="1" applyFont="1" applyFill="1" applyBorder="1" applyAlignment="1">
      <alignment horizontal="center"/>
    </xf>
    <xf numFmtId="44" fontId="25" fillId="10" borderId="50" xfId="3" applyNumberFormat="1" applyFont="1" applyFill="1" applyBorder="1" applyAlignment="1">
      <alignment horizontal="center"/>
    </xf>
    <xf numFmtId="44" fontId="6" fillId="7" borderId="27" xfId="1" applyNumberFormat="1" applyFont="1" applyFill="1" applyBorder="1" applyAlignment="1">
      <alignment horizontal="center"/>
    </xf>
    <xf numFmtId="44" fontId="6" fillId="12" borderId="22" xfId="1" applyNumberFormat="1" applyFont="1" applyFill="1" applyBorder="1" applyAlignment="1">
      <alignment horizontal="center"/>
    </xf>
    <xf numFmtId="44" fontId="6" fillId="12" borderId="14" xfId="1" applyNumberFormat="1" applyFont="1" applyFill="1" applyBorder="1" applyAlignment="1">
      <alignment horizontal="center"/>
    </xf>
    <xf numFmtId="44" fontId="6" fillId="12" borderId="50" xfId="1" applyNumberFormat="1" applyFont="1" applyFill="1" applyBorder="1" applyAlignment="1">
      <alignment horizontal="center"/>
    </xf>
    <xf numFmtId="44" fontId="6" fillId="5" borderId="27" xfId="1" applyNumberFormat="1" applyFont="1" applyFill="1" applyBorder="1" applyAlignment="1">
      <alignment horizontal="center"/>
    </xf>
    <xf numFmtId="44" fontId="11" fillId="0" borderId="38" xfId="1" applyFont="1" applyFill="1" applyBorder="1" applyAlignment="1">
      <alignment horizontal="center"/>
    </xf>
    <xf numFmtId="44" fontId="11" fillId="0" borderId="37" xfId="1" applyFont="1" applyFill="1" applyBorder="1" applyAlignment="1">
      <alignment horizontal="center"/>
    </xf>
    <xf numFmtId="44" fontId="11" fillId="0" borderId="0" xfId="1" applyFont="1" applyFill="1" applyBorder="1" applyAlignment="1">
      <alignment horizontal="center"/>
    </xf>
    <xf numFmtId="44" fontId="11" fillId="0" borderId="32" xfId="1" applyFont="1" applyFill="1" applyBorder="1" applyAlignment="1">
      <alignment horizontal="center"/>
    </xf>
    <xf numFmtId="44" fontId="18" fillId="0" borderId="0" xfId="1" applyFont="1" applyBorder="1"/>
    <xf numFmtId="44" fontId="18" fillId="0" borderId="32" xfId="1" applyFont="1" applyBorder="1"/>
    <xf numFmtId="0" fontId="9" fillId="2" borderId="3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44" fontId="4" fillId="0" borderId="54" xfId="0" applyNumberFormat="1" applyFont="1" applyFill="1" applyBorder="1" applyAlignment="1">
      <alignment horizontal="center"/>
    </xf>
    <xf numFmtId="44" fontId="4" fillId="0" borderId="55" xfId="1" applyFont="1" applyFill="1" applyBorder="1" applyAlignment="1">
      <alignment horizontal="center"/>
    </xf>
    <xf numFmtId="44" fontId="4" fillId="0" borderId="83" xfId="1" applyFont="1" applyFill="1" applyBorder="1" applyAlignment="1">
      <alignment horizontal="center"/>
    </xf>
    <xf numFmtId="44" fontId="4" fillId="7" borderId="53" xfId="0" applyNumberFormat="1" applyFont="1" applyFill="1" applyBorder="1" applyAlignment="1">
      <alignment horizontal="center"/>
    </xf>
    <xf numFmtId="44" fontId="4" fillId="5" borderId="53" xfId="0" applyNumberFormat="1" applyFont="1" applyFill="1" applyBorder="1" applyAlignment="1">
      <alignment horizontal="center"/>
    </xf>
    <xf numFmtId="44" fontId="6" fillId="10" borderId="94" xfId="0" applyNumberFormat="1" applyFont="1" applyFill="1" applyBorder="1" applyAlignment="1">
      <alignment horizontal="center"/>
    </xf>
    <xf numFmtId="44" fontId="6" fillId="10" borderId="31" xfId="1" applyFont="1" applyFill="1" applyBorder="1" applyAlignment="1">
      <alignment horizontal="center"/>
    </xf>
    <xf numFmtId="44" fontId="6" fillId="10" borderId="40" xfId="1" applyFont="1" applyFill="1" applyBorder="1" applyAlignment="1">
      <alignment horizontal="center"/>
    </xf>
    <xf numFmtId="44" fontId="6" fillId="7" borderId="29" xfId="0" applyNumberFormat="1" applyFont="1" applyFill="1" applyBorder="1" applyAlignment="1">
      <alignment horizontal="center"/>
    </xf>
    <xf numFmtId="44" fontId="6" fillId="12" borderId="94" xfId="0" applyNumberFormat="1" applyFont="1" applyFill="1" applyBorder="1" applyAlignment="1">
      <alignment horizontal="center"/>
    </xf>
    <xf numFmtId="44" fontId="6" fillId="12" borderId="31" xfId="1" applyFont="1" applyFill="1" applyBorder="1" applyAlignment="1">
      <alignment horizontal="center"/>
    </xf>
    <xf numFmtId="44" fontId="6" fillId="12" borderId="40" xfId="1" applyFont="1" applyFill="1" applyBorder="1" applyAlignment="1">
      <alignment horizontal="center"/>
    </xf>
    <xf numFmtId="44" fontId="6" fillId="5" borderId="29" xfId="0" applyNumberFormat="1" applyFont="1" applyFill="1" applyBorder="1" applyAlignment="1">
      <alignment horizontal="center"/>
    </xf>
    <xf numFmtId="44" fontId="6" fillId="3" borderId="93" xfId="0" quotePrefix="1" applyNumberFormat="1" applyFont="1" applyFill="1" applyBorder="1" applyAlignment="1">
      <alignment horizontal="center"/>
    </xf>
    <xf numFmtId="44" fontId="6" fillId="14" borderId="29" xfId="0" applyNumberFormat="1" applyFont="1" applyFill="1" applyBorder="1" applyAlignment="1">
      <alignment horizontal="center"/>
    </xf>
    <xf numFmtId="44" fontId="6" fillId="14" borderId="30" xfId="0" applyNumberFormat="1" applyFont="1" applyFill="1" applyBorder="1" applyAlignment="1">
      <alignment horizontal="center"/>
    </xf>
    <xf numFmtId="44" fontId="25" fillId="14" borderId="41" xfId="1" applyFont="1" applyFill="1" applyBorder="1"/>
    <xf numFmtId="0" fontId="20" fillId="11" borderId="41" xfId="0" quotePrefix="1" applyNumberFormat="1" applyFont="1" applyFill="1" applyBorder="1" applyAlignment="1">
      <alignment horizontal="center"/>
    </xf>
    <xf numFmtId="0" fontId="20" fillId="13" borderId="94" xfId="0" quotePrefix="1" applyNumberFormat="1" applyFont="1" applyFill="1" applyBorder="1" applyAlignment="1">
      <alignment horizontal="center"/>
    </xf>
    <xf numFmtId="0" fontId="20" fillId="13" borderId="31" xfId="0" quotePrefix="1" applyNumberFormat="1" applyFont="1" applyFill="1" applyBorder="1" applyAlignment="1">
      <alignment horizontal="center"/>
    </xf>
    <xf numFmtId="167" fontId="6" fillId="0" borderId="32" xfId="1" applyNumberFormat="1" applyFont="1" applyFill="1" applyBorder="1" applyAlignment="1">
      <alignment horizontal="center"/>
    </xf>
    <xf numFmtId="167" fontId="6" fillId="0" borderId="14" xfId="1" applyNumberFormat="1" applyFont="1" applyFill="1" applyBorder="1" applyAlignment="1">
      <alignment horizontal="center"/>
    </xf>
    <xf numFmtId="167" fontId="6" fillId="0" borderId="50" xfId="1" applyNumberFormat="1" applyFont="1" applyFill="1" applyBorder="1" applyAlignment="1">
      <alignment horizontal="center"/>
    </xf>
    <xf numFmtId="167" fontId="10" fillId="0" borderId="22" xfId="1" applyNumberFormat="1" applyFont="1" applyFill="1" applyBorder="1" applyAlignment="1">
      <alignment horizontal="center"/>
    </xf>
    <xf numFmtId="167" fontId="10" fillId="0" borderId="50" xfId="1" applyNumberFormat="1" applyFont="1" applyFill="1" applyBorder="1" applyAlignment="1">
      <alignment horizontal="center"/>
    </xf>
    <xf numFmtId="167" fontId="10" fillId="0" borderId="14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4" fillId="0" borderId="2" xfId="0" applyNumberFormat="1" applyFont="1" applyBorder="1" applyAlignment="1">
      <alignment horizontal="center"/>
    </xf>
    <xf numFmtId="0" fontId="20" fillId="13" borderId="41" xfId="0" quotePrefix="1" applyNumberFormat="1" applyFont="1" applyFill="1" applyBorder="1" applyAlignment="1">
      <alignment horizontal="center"/>
    </xf>
    <xf numFmtId="14" fontId="17" fillId="0" borderId="9" xfId="3" applyNumberFormat="1" applyFont="1" applyFill="1" applyBorder="1" applyAlignment="1">
      <alignment horizontal="center"/>
    </xf>
    <xf numFmtId="0" fontId="17" fillId="0" borderId="6" xfId="3" applyNumberFormat="1" applyFont="1" applyFill="1" applyBorder="1" applyAlignment="1">
      <alignment horizontal="center"/>
    </xf>
    <xf numFmtId="0" fontId="17" fillId="0" borderId="51" xfId="3" applyNumberFormat="1" applyFont="1" applyFill="1" applyBorder="1" applyAlignment="1">
      <alignment horizontal="center"/>
    </xf>
    <xf numFmtId="14" fontId="11" fillId="0" borderId="18" xfId="1" quotePrefix="1" applyNumberFormat="1" applyFont="1" applyFill="1" applyBorder="1" applyAlignment="1">
      <alignment horizontal="center"/>
    </xf>
    <xf numFmtId="14" fontId="11" fillId="0" borderId="49" xfId="1" quotePrefix="1" applyNumberFormat="1" applyFont="1" applyFill="1" applyBorder="1" applyAlignment="1">
      <alignment horizontal="center"/>
    </xf>
    <xf numFmtId="14" fontId="11" fillId="0" borderId="47" xfId="1" quotePrefix="1" applyNumberFormat="1" applyFont="1" applyFill="1" applyBorder="1" applyAlignment="1">
      <alignment horizontal="center"/>
    </xf>
    <xf numFmtId="14" fontId="11" fillId="0" borderId="21" xfId="1" quotePrefix="1" applyNumberFormat="1" applyFont="1" applyFill="1" applyBorder="1" applyAlignment="1">
      <alignment horizontal="center"/>
    </xf>
    <xf numFmtId="14" fontId="11" fillId="0" borderId="9" xfId="1" quotePrefix="1" applyNumberFormat="1" applyFont="1" applyFill="1" applyBorder="1" applyAlignment="1">
      <alignment horizontal="center"/>
    </xf>
    <xf numFmtId="14" fontId="11" fillId="0" borderId="15" xfId="1" quotePrefix="1" applyNumberFormat="1" applyFont="1" applyFill="1" applyBorder="1" applyAlignment="1">
      <alignment horizontal="center"/>
    </xf>
    <xf numFmtId="14" fontId="17" fillId="0" borderId="55" xfId="3" applyNumberFormat="1" applyFont="1" applyFill="1" applyBorder="1" applyAlignment="1">
      <alignment horizontal="center"/>
    </xf>
    <xf numFmtId="14" fontId="6" fillId="3" borderId="10" xfId="1" applyNumberFormat="1" applyFont="1" applyFill="1" applyBorder="1" applyAlignment="1">
      <alignment horizontal="center"/>
    </xf>
    <xf numFmtId="14" fontId="6" fillId="3" borderId="16" xfId="1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48" xfId="1" applyNumberFormat="1" applyFont="1" applyFill="1" applyBorder="1" applyAlignment="1">
      <alignment horizontal="center"/>
    </xf>
    <xf numFmtId="165" fontId="4" fillId="7" borderId="24" xfId="1" quotePrefix="1" applyNumberFormat="1" applyFont="1" applyFill="1" applyBorder="1" applyAlignment="1">
      <alignment horizontal="center"/>
    </xf>
    <xf numFmtId="165" fontId="11" fillId="0" borderId="19" xfId="1" applyNumberFormat="1" applyFont="1" applyFill="1" applyBorder="1" applyAlignment="1">
      <alignment horizontal="center"/>
    </xf>
    <xf numFmtId="165" fontId="11" fillId="0" borderId="48" xfId="1" applyNumberFormat="1" applyFont="1" applyFill="1" applyBorder="1" applyAlignment="1">
      <alignment horizontal="center"/>
    </xf>
    <xf numFmtId="165" fontId="4" fillId="5" borderId="24" xfId="1" quotePrefix="1" applyNumberFormat="1" applyFont="1" applyFill="1" applyBorder="1" applyAlignment="1">
      <alignment horizontal="center"/>
    </xf>
    <xf numFmtId="165" fontId="11" fillId="0" borderId="4" xfId="1" applyNumberFormat="1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0" fontId="11" fillId="10" borderId="48" xfId="1" applyNumberFormat="1" applyFont="1" applyFill="1" applyBorder="1" applyAlignment="1">
      <alignment horizontal="center"/>
    </xf>
    <xf numFmtId="0" fontId="11" fillId="10" borderId="57" xfId="0" applyNumberFormat="1" applyFont="1" applyFill="1" applyBorder="1" applyAlignment="1">
      <alignment horizontal="center"/>
    </xf>
    <xf numFmtId="0" fontId="11" fillId="10" borderId="4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1" fillId="4" borderId="29" xfId="1" quotePrefix="1" applyNumberFormat="1" applyFont="1" applyFill="1" applyBorder="1" applyAlignment="1">
      <alignment horizontal="center"/>
    </xf>
    <xf numFmtId="1" fontId="4" fillId="7" borderId="23" xfId="1" quotePrefix="1" applyNumberFormat="1" applyFont="1" applyFill="1" applyBorder="1" applyAlignment="1">
      <alignment horizontal="center"/>
    </xf>
    <xf numFmtId="2" fontId="4" fillId="7" borderId="23" xfId="1" quotePrefix="1" applyNumberFormat="1" applyFont="1" applyFill="1" applyBorder="1" applyAlignment="1">
      <alignment horizontal="center"/>
    </xf>
    <xf numFmtId="1" fontId="4" fillId="0" borderId="72" xfId="1" applyNumberFormat="1" applyFont="1" applyFill="1" applyBorder="1" applyAlignment="1">
      <alignment horizontal="center"/>
    </xf>
    <xf numFmtId="2" fontId="4" fillId="0" borderId="72" xfId="1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/>
    </xf>
    <xf numFmtId="2" fontId="4" fillId="0" borderId="15" xfId="1" applyNumberFormat="1" applyFont="1" applyFill="1" applyBorder="1" applyAlignment="1">
      <alignment horizontal="center"/>
    </xf>
    <xf numFmtId="1" fontId="4" fillId="0" borderId="47" xfId="1" applyNumberFormat="1" applyFont="1" applyFill="1" applyBorder="1" applyAlignment="1">
      <alignment horizontal="center"/>
    </xf>
    <xf numFmtId="2" fontId="4" fillId="0" borderId="47" xfId="1" applyNumberFormat="1" applyFont="1" applyFill="1" applyBorder="1" applyAlignment="1">
      <alignment horizontal="center"/>
    </xf>
    <xf numFmtId="1" fontId="11" fillId="0" borderId="18" xfId="1" applyNumberFormat="1" applyFont="1" applyFill="1" applyBorder="1" applyAlignment="1">
      <alignment horizontal="center"/>
    </xf>
    <xf numFmtId="2" fontId="11" fillId="0" borderId="18" xfId="1" applyNumberFormat="1" applyFont="1" applyFill="1" applyBorder="1" applyAlignment="1">
      <alignment horizontal="center"/>
    </xf>
    <xf numFmtId="1" fontId="11" fillId="0" borderId="47" xfId="1" applyNumberFormat="1" applyFont="1" applyFill="1" applyBorder="1" applyAlignment="1">
      <alignment horizontal="center"/>
    </xf>
    <xf numFmtId="2" fontId="11" fillId="0" borderId="47" xfId="1" applyNumberFormat="1" applyFont="1" applyFill="1" applyBorder="1" applyAlignment="1">
      <alignment horizontal="center"/>
    </xf>
    <xf numFmtId="1" fontId="11" fillId="6" borderId="23" xfId="1" quotePrefix="1" applyNumberFormat="1" applyFont="1" applyFill="1" applyBorder="1" applyAlignment="1">
      <alignment horizontal="center"/>
    </xf>
    <xf numFmtId="2" fontId="11" fillId="6" borderId="23" xfId="1" quotePrefix="1" applyNumberFormat="1" applyFont="1" applyFill="1" applyBorder="1" applyAlignment="1">
      <alignment horizontal="center"/>
    </xf>
    <xf numFmtId="1" fontId="4" fillId="5" borderId="23" xfId="1" quotePrefix="1" applyNumberFormat="1" applyFont="1" applyFill="1" applyBorder="1" applyAlignment="1">
      <alignment horizontal="center"/>
    </xf>
    <xf numFmtId="2" fontId="4" fillId="5" borderId="23" xfId="1" quotePrefix="1" applyNumberFormat="1" applyFont="1" applyFill="1" applyBorder="1" applyAlignment="1">
      <alignment horizontal="center"/>
    </xf>
    <xf numFmtId="1" fontId="11" fillId="0" borderId="15" xfId="1" applyNumberFormat="1" applyFont="1" applyFill="1" applyBorder="1" applyAlignment="1">
      <alignment horizontal="center"/>
    </xf>
    <xf numFmtId="2" fontId="11" fillId="0" borderId="15" xfId="1" applyNumberFormat="1" applyFont="1" applyFill="1" applyBorder="1" applyAlignment="1">
      <alignment horizontal="center"/>
    </xf>
    <xf numFmtId="1" fontId="6" fillId="3" borderId="16" xfId="1" applyNumberFormat="1" applyFont="1" applyFill="1" applyBorder="1" applyAlignment="1">
      <alignment horizontal="center"/>
    </xf>
    <xf numFmtId="2" fontId="6" fillId="3" borderId="16" xfId="1" applyNumberFormat="1" applyFont="1" applyFill="1" applyBorder="1" applyAlignment="1">
      <alignment horizontal="center"/>
    </xf>
    <xf numFmtId="0" fontId="6" fillId="2" borderId="0" xfId="0" applyFont="1" applyFill="1" applyBorder="1"/>
    <xf numFmtId="0" fontId="10" fillId="4" borderId="25" xfId="0" quotePrefix="1" applyNumberFormat="1" applyFont="1" applyFill="1" applyBorder="1" applyAlignment="1">
      <alignment horizontal="center"/>
    </xf>
    <xf numFmtId="168" fontId="4" fillId="0" borderId="72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69" fontId="4" fillId="0" borderId="54" xfId="0" applyNumberFormat="1" applyFont="1" applyFill="1" applyBorder="1" applyAlignment="1">
      <alignment horizontal="center"/>
    </xf>
    <xf numFmtId="166" fontId="4" fillId="0" borderId="94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168" fontId="4" fillId="0" borderId="15" xfId="1" applyNumberFormat="1" applyFont="1" applyFill="1" applyBorder="1" applyAlignment="1">
      <alignment horizontal="center"/>
    </xf>
    <xf numFmtId="10" fontId="4" fillId="0" borderId="9" xfId="1" applyNumberFormat="1" applyFont="1" applyFill="1" applyBorder="1" applyAlignment="1">
      <alignment horizontal="center"/>
    </xf>
    <xf numFmtId="169" fontId="4" fillId="0" borderId="55" xfId="1" applyNumberFormat="1" applyFont="1" applyFill="1" applyBorder="1" applyAlignment="1">
      <alignment horizontal="center"/>
    </xf>
    <xf numFmtId="166" fontId="4" fillId="0" borderId="31" xfId="1" applyNumberFormat="1" applyFont="1" applyFill="1" applyBorder="1" applyAlignment="1">
      <alignment horizontal="center"/>
    </xf>
    <xf numFmtId="44" fontId="4" fillId="0" borderId="6" xfId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0" fontId="4" fillId="0" borderId="86" xfId="1" applyNumberFormat="1" applyFont="1" applyFill="1" applyBorder="1" applyAlignment="1">
      <alignment horizontal="center"/>
    </xf>
    <xf numFmtId="169" fontId="4" fillId="0" borderId="83" xfId="1" applyNumberFormat="1" applyFont="1" applyFill="1" applyBorder="1" applyAlignment="1">
      <alignment horizontal="center"/>
    </xf>
    <xf numFmtId="166" fontId="4" fillId="0" borderId="40" xfId="1" applyNumberFormat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168" fontId="20" fillId="0" borderId="72" xfId="1" applyNumberFormat="1" applyFont="1" applyFill="1" applyBorder="1" applyAlignment="1">
      <alignment horizontal="center"/>
    </xf>
    <xf numFmtId="10" fontId="20" fillId="0" borderId="17" xfId="1" applyNumberFormat="1" applyFont="1" applyFill="1" applyBorder="1" applyAlignment="1">
      <alignment horizontal="center"/>
    </xf>
    <xf numFmtId="169" fontId="20" fillId="0" borderId="54" xfId="1" applyNumberFormat="1" applyFont="1" applyFill="1" applyBorder="1" applyAlignment="1">
      <alignment horizontal="center"/>
    </xf>
    <xf numFmtId="166" fontId="20" fillId="0" borderId="94" xfId="1" applyNumberFormat="1" applyFont="1" applyFill="1" applyBorder="1" applyAlignment="1">
      <alignment horizontal="center"/>
    </xf>
    <xf numFmtId="44" fontId="20" fillId="0" borderId="0" xfId="1" applyFont="1" applyFill="1" applyBorder="1" applyAlignment="1">
      <alignment horizontal="center"/>
    </xf>
    <xf numFmtId="44" fontId="20" fillId="0" borderId="54" xfId="1" quotePrefix="1" applyFont="1" applyFill="1" applyBorder="1" applyAlignment="1">
      <alignment horizontal="center"/>
    </xf>
    <xf numFmtId="168" fontId="20" fillId="0" borderId="47" xfId="1" applyNumberFormat="1" applyFont="1" applyFill="1" applyBorder="1" applyAlignment="1">
      <alignment horizontal="center"/>
    </xf>
    <xf numFmtId="10" fontId="20" fillId="0" borderId="49" xfId="1" applyNumberFormat="1" applyFont="1" applyFill="1" applyBorder="1" applyAlignment="1">
      <alignment horizontal="center"/>
    </xf>
    <xf numFmtId="169" fontId="20" fillId="0" borderId="56" xfId="1" applyNumberFormat="1" applyFont="1" applyFill="1" applyBorder="1" applyAlignment="1">
      <alignment horizontal="center"/>
    </xf>
    <xf numFmtId="166" fontId="20" fillId="0" borderId="41" xfId="1" applyNumberFormat="1" applyFont="1" applyFill="1" applyBorder="1" applyAlignment="1">
      <alignment horizontal="center"/>
    </xf>
    <xf numFmtId="44" fontId="20" fillId="0" borderId="51" xfId="1" applyFont="1" applyFill="1" applyBorder="1" applyAlignment="1">
      <alignment horizontal="center"/>
    </xf>
    <xf numFmtId="44" fontId="20" fillId="0" borderId="56" xfId="1" quotePrefix="1" applyFont="1" applyFill="1" applyBorder="1" applyAlignment="1">
      <alignment horizontal="center"/>
    </xf>
    <xf numFmtId="168" fontId="20" fillId="0" borderId="15" xfId="1" applyNumberFormat="1" applyFont="1" applyFill="1" applyBorder="1" applyAlignment="1">
      <alignment horizontal="center"/>
    </xf>
    <xf numFmtId="10" fontId="20" fillId="0" borderId="9" xfId="1" applyNumberFormat="1" applyFont="1" applyFill="1" applyBorder="1" applyAlignment="1">
      <alignment horizontal="center"/>
    </xf>
    <xf numFmtId="169" fontId="20" fillId="0" borderId="55" xfId="1" applyNumberFormat="1" applyFont="1" applyFill="1" applyBorder="1" applyAlignment="1">
      <alignment horizontal="center"/>
    </xf>
    <xf numFmtId="166" fontId="20" fillId="0" borderId="31" xfId="1" applyNumberFormat="1" applyFont="1" applyFill="1" applyBorder="1" applyAlignment="1">
      <alignment horizontal="center"/>
    </xf>
    <xf numFmtId="44" fontId="20" fillId="0" borderId="6" xfId="1" applyFont="1" applyFill="1" applyBorder="1" applyAlignment="1">
      <alignment horizontal="center"/>
    </xf>
    <xf numFmtId="44" fontId="20" fillId="0" borderId="55" xfId="1" quotePrefix="1" applyFont="1" applyFill="1" applyBorder="1" applyAlignment="1">
      <alignment horizontal="center"/>
    </xf>
    <xf numFmtId="44" fontId="11" fillId="0" borderId="25" xfId="1" applyFont="1" applyFill="1" applyBorder="1" applyAlignment="1">
      <alignment horizontal="center"/>
    </xf>
    <xf numFmtId="44" fontId="11" fillId="0" borderId="20" xfId="1" applyFont="1" applyFill="1" applyBorder="1" applyAlignment="1">
      <alignment horizontal="center"/>
    </xf>
    <xf numFmtId="44" fontId="18" fillId="0" borderId="47" xfId="1" applyFont="1" applyFill="1" applyBorder="1"/>
    <xf numFmtId="0" fontId="23" fillId="0" borderId="56" xfId="0" quotePrefix="1" applyFont="1" applyFill="1" applyBorder="1" applyAlignment="1">
      <alignment horizontal="center"/>
    </xf>
    <xf numFmtId="168" fontId="6" fillId="3" borderId="16" xfId="1" applyNumberFormat="1" applyFont="1" applyFill="1" applyBorder="1" applyAlignment="1">
      <alignment horizontal="center"/>
    </xf>
    <xf numFmtId="44" fontId="6" fillId="3" borderId="10" xfId="1" quotePrefix="1" applyFont="1" applyFill="1" applyBorder="1" applyAlignment="1">
      <alignment horizontal="center"/>
    </xf>
    <xf numFmtId="169" fontId="6" fillId="3" borderId="11" xfId="1" applyNumberFormat="1" applyFont="1" applyFill="1" applyBorder="1" applyAlignment="1">
      <alignment horizontal="center"/>
    </xf>
    <xf numFmtId="166" fontId="6" fillId="3" borderId="93" xfId="1" applyNumberFormat="1" applyFont="1" applyFill="1" applyBorder="1" applyAlignment="1">
      <alignment horizontal="center"/>
    </xf>
    <xf numFmtId="44" fontId="6" fillId="3" borderId="7" xfId="1" applyFont="1" applyFill="1" applyBorder="1" applyAlignment="1">
      <alignment horizontal="center"/>
    </xf>
    <xf numFmtId="44" fontId="4" fillId="7" borderId="23" xfId="0" quotePrefix="1" applyNumberFormat="1" applyFont="1" applyFill="1" applyBorder="1" applyAlignment="1">
      <alignment horizontal="center"/>
    </xf>
    <xf numFmtId="44" fontId="4" fillId="7" borderId="26" xfId="0" quotePrefix="1" applyNumberFormat="1" applyFont="1" applyFill="1" applyBorder="1" applyAlignment="1">
      <alignment horizontal="center"/>
    </xf>
    <xf numFmtId="44" fontId="4" fillId="7" borderId="53" xfId="0" quotePrefix="1" applyNumberFormat="1" applyFont="1" applyFill="1" applyBorder="1" applyAlignment="1">
      <alignment horizontal="center"/>
    </xf>
    <xf numFmtId="44" fontId="4" fillId="7" borderId="29" xfId="0" quotePrefix="1" applyNumberFormat="1" applyFont="1" applyFill="1" applyBorder="1" applyAlignment="1">
      <alignment horizontal="center"/>
    </xf>
    <xf numFmtId="44" fontId="4" fillId="7" borderId="25" xfId="0" quotePrefix="1" applyNumberFormat="1" applyFont="1" applyFill="1" applyBorder="1" applyAlignment="1">
      <alignment horizontal="center"/>
    </xf>
    <xf numFmtId="44" fontId="6" fillId="7" borderId="53" xfId="0" quotePrefix="1" applyNumberFormat="1" applyFont="1" applyFill="1" applyBorder="1" applyAlignment="1">
      <alignment horizontal="center"/>
    </xf>
    <xf numFmtId="44" fontId="20" fillId="11" borderId="41" xfId="1" quotePrefix="1" applyFont="1" applyFill="1" applyBorder="1" applyAlignment="1">
      <alignment horizontal="center"/>
    </xf>
    <xf numFmtId="0" fontId="10" fillId="6" borderId="25" xfId="0" quotePrefix="1" applyNumberFormat="1" applyFont="1" applyFill="1" applyBorder="1" applyAlignment="1">
      <alignment horizontal="center"/>
    </xf>
    <xf numFmtId="44" fontId="4" fillId="5" borderId="23" xfId="0" quotePrefix="1" applyNumberFormat="1" applyFont="1" applyFill="1" applyBorder="1" applyAlignment="1">
      <alignment horizontal="center"/>
    </xf>
    <xf numFmtId="44" fontId="4" fillId="5" borderId="26" xfId="0" quotePrefix="1" applyNumberFormat="1" applyFont="1" applyFill="1" applyBorder="1" applyAlignment="1">
      <alignment horizontal="center"/>
    </xf>
    <xf numFmtId="44" fontId="4" fillId="5" borderId="53" xfId="0" quotePrefix="1" applyNumberFormat="1" applyFont="1" applyFill="1" applyBorder="1" applyAlignment="1">
      <alignment horizontal="center"/>
    </xf>
    <xf numFmtId="44" fontId="4" fillId="5" borderId="29" xfId="0" quotePrefix="1" applyNumberFormat="1" applyFont="1" applyFill="1" applyBorder="1" applyAlignment="1">
      <alignment horizontal="center"/>
    </xf>
    <xf numFmtId="44" fontId="4" fillId="5" borderId="25" xfId="0" quotePrefix="1" applyNumberFormat="1" applyFont="1" applyFill="1" applyBorder="1" applyAlignment="1">
      <alignment horizontal="center"/>
    </xf>
    <xf numFmtId="44" fontId="6" fillId="5" borderId="53" xfId="0" quotePrefix="1" applyNumberFormat="1" applyFont="1" applyFill="1" applyBorder="1" applyAlignment="1">
      <alignment horizontal="center"/>
    </xf>
    <xf numFmtId="44" fontId="20" fillId="13" borderId="94" xfId="1" quotePrefix="1" applyFont="1" applyFill="1" applyBorder="1" applyAlignment="1">
      <alignment horizontal="center"/>
    </xf>
    <xf numFmtId="44" fontId="20" fillId="13" borderId="31" xfId="1" quotePrefix="1" applyFont="1" applyFill="1" applyBorder="1" applyAlignment="1">
      <alignment horizontal="center"/>
    </xf>
    <xf numFmtId="44" fontId="20" fillId="13" borderId="41" xfId="1" quotePrefix="1" applyFont="1" applyFill="1" applyBorder="1" applyAlignment="1">
      <alignment horizontal="center"/>
    </xf>
    <xf numFmtId="44" fontId="4" fillId="0" borderId="55" xfId="0" applyNumberFormat="1" applyFont="1" applyFill="1" applyBorder="1" applyAlignment="1">
      <alignment horizontal="center"/>
    </xf>
    <xf numFmtId="44" fontId="4" fillId="0" borderId="83" xfId="0" applyNumberFormat="1" applyFont="1" applyFill="1" applyBorder="1" applyAlignment="1">
      <alignment horizontal="center"/>
    </xf>
    <xf numFmtId="14" fontId="3" fillId="0" borderId="0" xfId="1" applyNumberFormat="1" applyFont="1"/>
    <xf numFmtId="0" fontId="20" fillId="0" borderId="94" xfId="0" quotePrefix="1" applyNumberFormat="1" applyFont="1" applyFill="1" applyBorder="1" applyAlignment="1">
      <alignment horizontal="center"/>
    </xf>
    <xf numFmtId="44" fontId="20" fillId="0" borderId="94" xfId="1" quotePrefix="1" applyFont="1" applyFill="1" applyBorder="1" applyAlignment="1">
      <alignment horizontal="center"/>
    </xf>
    <xf numFmtId="0" fontId="4" fillId="0" borderId="0" xfId="0" applyFont="1" applyFill="1"/>
    <xf numFmtId="14" fontId="4" fillId="0" borderId="49" xfId="1" applyNumberFormat="1" applyFont="1" applyFill="1" applyBorder="1" applyAlignment="1">
      <alignment horizontal="center"/>
    </xf>
    <xf numFmtId="14" fontId="11" fillId="0" borderId="57" xfId="1" quotePrefix="1" applyNumberFormat="1" applyFont="1" applyFill="1" applyBorder="1" applyAlignment="1">
      <alignment horizontal="center"/>
    </xf>
    <xf numFmtId="14" fontId="11" fillId="0" borderId="56" xfId="1" quotePrefix="1" applyNumberFormat="1" applyFont="1" applyFill="1" applyBorder="1" applyAlignment="1">
      <alignment horizontal="center"/>
    </xf>
    <xf numFmtId="14" fontId="11" fillId="0" borderId="55" xfId="1" quotePrefix="1" applyNumberFormat="1" applyFont="1" applyFill="1" applyBorder="1" applyAlignment="1">
      <alignment horizontal="center"/>
    </xf>
    <xf numFmtId="14" fontId="11" fillId="0" borderId="21" xfId="1" applyNumberFormat="1" applyFont="1" applyFill="1" applyBorder="1" applyAlignment="1">
      <alignment horizontal="center"/>
    </xf>
    <xf numFmtId="14" fontId="4" fillId="0" borderId="49" xfId="0" applyNumberFormat="1" applyFont="1" applyFill="1" applyBorder="1" applyAlignment="1">
      <alignment horizontal="center"/>
    </xf>
    <xf numFmtId="0" fontId="17" fillId="9" borderId="55" xfId="3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3" fontId="8" fillId="2" borderId="36" xfId="0" applyNumberFormat="1" applyFont="1" applyFill="1" applyBorder="1" applyAlignment="1"/>
    <xf numFmtId="3" fontId="8" fillId="2" borderId="38" xfId="0" applyNumberFormat="1" applyFont="1" applyFill="1" applyBorder="1" applyAlignment="1"/>
    <xf numFmtId="3" fontId="8" fillId="2" borderId="37" xfId="0" applyNumberFormat="1" applyFont="1" applyFill="1" applyBorder="1" applyAlignment="1"/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42" fontId="8" fillId="2" borderId="95" xfId="1" applyNumberFormat="1" applyFont="1" applyFill="1" applyBorder="1" applyAlignment="1">
      <alignment horizontal="left"/>
    </xf>
    <xf numFmtId="42" fontId="8" fillId="2" borderId="33" xfId="1" applyNumberFormat="1" applyFont="1" applyFill="1" applyBorder="1" applyAlignment="1">
      <alignment horizontal="left"/>
    </xf>
    <xf numFmtId="42" fontId="8" fillId="2" borderId="58" xfId="1" applyNumberFormat="1" applyFont="1" applyFill="1" applyBorder="1" applyAlignment="1">
      <alignment horizontal="left"/>
    </xf>
    <xf numFmtId="42" fontId="8" fillId="2" borderId="39" xfId="1" applyNumberFormat="1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3" fontId="8" fillId="2" borderId="33" xfId="0" applyNumberFormat="1" applyFont="1" applyFill="1" applyBorder="1" applyAlignment="1">
      <alignment horizontal="left"/>
    </xf>
    <xf numFmtId="3" fontId="8" fillId="2" borderId="39" xfId="0" applyNumberFormat="1" applyFont="1" applyFill="1" applyBorder="1" applyAlignment="1">
      <alignment horizontal="left"/>
    </xf>
    <xf numFmtId="3" fontId="8" fillId="2" borderId="35" xfId="0" applyNumberFormat="1" applyFont="1" applyFill="1" applyBorder="1" applyAlignment="1">
      <alignment horizontal="left"/>
    </xf>
    <xf numFmtId="3" fontId="8" fillId="2" borderId="36" xfId="0" applyNumberFormat="1" applyFont="1" applyFill="1" applyBorder="1" applyAlignment="1">
      <alignment horizontal="left"/>
    </xf>
    <xf numFmtId="3" fontId="8" fillId="2" borderId="38" xfId="0" applyNumberFormat="1" applyFont="1" applyFill="1" applyBorder="1" applyAlignment="1">
      <alignment horizontal="left"/>
    </xf>
    <xf numFmtId="3" fontId="8" fillId="2" borderId="37" xfId="0" applyNumberFormat="1" applyFont="1" applyFill="1" applyBorder="1" applyAlignment="1">
      <alignment horizontal="left"/>
    </xf>
    <xf numFmtId="42" fontId="8" fillId="15" borderId="36" xfId="1" applyNumberFormat="1" applyFont="1" applyFill="1" applyBorder="1" applyAlignment="1">
      <alignment horizontal="left"/>
    </xf>
    <xf numFmtId="42" fontId="8" fillId="15" borderId="38" xfId="1" applyNumberFormat="1" applyFont="1" applyFill="1" applyBorder="1" applyAlignment="1">
      <alignment horizontal="left"/>
    </xf>
    <xf numFmtId="42" fontId="8" fillId="15" borderId="37" xfId="1" applyNumberFormat="1" applyFont="1" applyFill="1" applyBorder="1" applyAlignment="1">
      <alignment horizontal="left"/>
    </xf>
    <xf numFmtId="44" fontId="3" fillId="0" borderId="0" xfId="1" applyFont="1" applyFill="1" applyAlignment="1">
      <alignment horizontal="center" vertical="top"/>
    </xf>
  </cellXfs>
  <cellStyles count="4">
    <cellStyle name="Měna" xfId="1" builtinId="4"/>
    <cellStyle name="Normální" xfId="0" builtinId="0"/>
    <cellStyle name="Procenta" xfId="2" builtinId="5"/>
    <cellStyle name="Zvýraznění 6" xfId="3" builtinId="49"/>
  </cellStyles>
  <dxfs count="1">
    <dxf>
      <font>
        <color rgb="FFFFC0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1</xdr:col>
      <xdr:colOff>609600</xdr:colOff>
      <xdr:row>2</xdr:row>
      <xdr:rowOff>171450</xdr:rowOff>
    </xdr:to>
    <xdr:pic>
      <xdr:nvPicPr>
        <xdr:cNvPr id="2" name="Picture 1" descr="junak_znak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5810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44"/>
  <sheetViews>
    <sheetView showGridLines="0" tabSelected="1" zoomScale="85" zoomScaleNormal="85" zoomScaleSheetLayoutView="100" workbookViewId="0">
      <pane xSplit="3" ySplit="8" topLeftCell="D9" activePane="bottomRight" state="frozen"/>
      <selection activeCell="B1" sqref="B1"/>
      <selection pane="topRight" activeCell="E1" sqref="E1"/>
      <selection pane="bottomLeft" activeCell="B9" sqref="B9"/>
      <selection pane="bottomRight" activeCell="C3" sqref="C3"/>
    </sheetView>
  </sheetViews>
  <sheetFormatPr defaultRowHeight="12.75" x14ac:dyDescent="0.2"/>
  <cols>
    <col min="1" max="1" width="5.7109375" hidden="1" customWidth="1"/>
    <col min="2" max="2" width="9.7109375" bestFit="1" customWidth="1"/>
    <col min="3" max="3" width="40.7109375" customWidth="1"/>
    <col min="4" max="6" width="16.140625" bestFit="1" customWidth="1"/>
    <col min="7" max="7" width="1.42578125" style="1" customWidth="1"/>
    <col min="8" max="8" width="11.7109375" customWidth="1"/>
    <col min="9" max="9" width="16.28515625" bestFit="1" customWidth="1"/>
    <col min="10" max="10" width="19" customWidth="1"/>
    <col min="11" max="11" width="11.7109375" customWidth="1"/>
    <col min="12" max="12" width="6.7109375" style="1" customWidth="1"/>
    <col min="13" max="13" width="12.7109375" style="1" customWidth="1"/>
    <col min="14" max="14" width="9.7109375" style="1" customWidth="1"/>
    <col min="15" max="15" width="14.5703125" customWidth="1"/>
    <col min="16" max="16" width="13.7109375" customWidth="1"/>
    <col min="17" max="17" width="7" customWidth="1"/>
    <col min="18" max="18" width="13.140625" style="1" customWidth="1"/>
    <col min="19" max="19" width="9.7109375" style="1" customWidth="1"/>
    <col min="20" max="20" width="1.42578125" style="1" customWidth="1"/>
    <col min="21" max="21" width="17.28515625" bestFit="1" customWidth="1"/>
    <col min="22" max="22" width="12.42578125" customWidth="1"/>
    <col min="23" max="23" width="14" bestFit="1" customWidth="1"/>
    <col min="24" max="24" width="14" customWidth="1"/>
    <col min="25" max="25" width="1.42578125" style="1" customWidth="1"/>
    <col min="26" max="26" width="10.42578125" customWidth="1"/>
    <col min="27" max="27" width="15.140625" customWidth="1"/>
    <col min="28" max="28" width="19.42578125" customWidth="1"/>
    <col min="29" max="29" width="18" customWidth="1"/>
    <col min="30" max="30" width="17.28515625" customWidth="1"/>
    <col min="31" max="31" width="13.7109375" customWidth="1"/>
    <col min="32" max="32" width="14.85546875" customWidth="1"/>
    <col min="33" max="33" width="14" customWidth="1"/>
    <col min="34" max="34" width="1.42578125" customWidth="1"/>
    <col min="35" max="35" width="10.5703125" bestFit="1" customWidth="1"/>
    <col min="36" max="36" width="12.85546875" customWidth="1"/>
    <col min="37" max="37" width="10.7109375" customWidth="1"/>
    <col min="38" max="38" width="8.85546875" bestFit="1" customWidth="1"/>
    <col min="39" max="39" width="11.7109375" customWidth="1"/>
    <col min="40" max="41" width="11.7109375" style="1" customWidth="1"/>
    <col min="42" max="42" width="1.42578125" customWidth="1"/>
    <col min="43" max="44" width="5.7109375" customWidth="1"/>
    <col min="45" max="45" width="12.28515625" bestFit="1" customWidth="1"/>
    <col min="46" max="46" width="11.7109375" bestFit="1" customWidth="1"/>
    <col min="47" max="47" width="1.42578125" customWidth="1"/>
    <col min="48" max="49" width="5.7109375" style="1" customWidth="1"/>
    <col min="50" max="51" width="10.7109375" style="1" customWidth="1"/>
    <col min="52" max="52" width="8.7109375" style="1" customWidth="1"/>
    <col min="53" max="53" width="9.7109375" style="1" customWidth="1"/>
    <col min="54" max="54" width="1.42578125" customWidth="1"/>
    <col min="55" max="55" width="11.7109375" customWidth="1"/>
    <col min="56" max="57" width="11.7109375" style="1" customWidth="1"/>
    <col min="58" max="58" width="13.85546875" style="1" customWidth="1"/>
    <col min="59" max="60" width="8.7109375" style="1" customWidth="1"/>
    <col min="61" max="61" width="10.5703125" style="1" customWidth="1"/>
    <col min="62" max="62" width="1.42578125" customWidth="1"/>
    <col min="63" max="66" width="11.7109375" style="1" customWidth="1"/>
    <col min="67" max="67" width="1.42578125" customWidth="1"/>
    <col min="68" max="68" width="9.42578125" style="1" customWidth="1"/>
    <col min="69" max="69" width="9.85546875" style="1" customWidth="1"/>
    <col min="70" max="70" width="8.7109375" style="1" customWidth="1"/>
    <col min="71" max="71" width="11.85546875" style="1" customWidth="1"/>
    <col min="72" max="72" width="1.42578125" customWidth="1"/>
    <col min="73" max="74" width="9.85546875" style="1" customWidth="1"/>
    <col min="75" max="75" width="14.7109375" style="1" customWidth="1"/>
    <col min="76" max="76" width="7.7109375" style="1" customWidth="1"/>
    <col min="77" max="77" width="8.28515625" style="1" customWidth="1"/>
    <col min="78" max="78" width="10.5703125" style="1" customWidth="1"/>
  </cols>
  <sheetData>
    <row r="1" spans="2:78" s="2" customFormat="1" ht="36" x14ac:dyDescent="0.2">
      <c r="B1" s="10"/>
      <c r="C1" s="11" t="s">
        <v>121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3"/>
      <c r="W1" s="13"/>
      <c r="X1" s="13"/>
      <c r="Y1" s="1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1"/>
      <c r="AK1" s="11"/>
      <c r="AL1" s="11"/>
      <c r="AM1" s="11"/>
      <c r="AP1" s="13"/>
      <c r="AQ1" s="13"/>
      <c r="AR1" s="13"/>
      <c r="AS1" s="13"/>
      <c r="AT1" s="13"/>
      <c r="AU1" s="13"/>
      <c r="BB1" s="13"/>
      <c r="BC1" s="11"/>
      <c r="BJ1" s="13"/>
      <c r="BO1" s="13"/>
      <c r="BT1" s="13"/>
    </row>
    <row r="2" spans="2:78" s="2" customFormat="1" ht="6" customHeight="1" x14ac:dyDescent="0.25">
      <c r="B2" s="10"/>
      <c r="C2" s="1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4"/>
      <c r="V2" s="4"/>
      <c r="W2" s="4"/>
      <c r="X2" s="4"/>
      <c r="Y2" s="15"/>
      <c r="Z2" s="4"/>
      <c r="AA2" s="4"/>
      <c r="AB2" s="4"/>
      <c r="AC2" s="4"/>
      <c r="AD2" s="4"/>
      <c r="AE2" s="4"/>
      <c r="AF2" s="4"/>
      <c r="AG2" s="4"/>
      <c r="AH2" s="4"/>
      <c r="AI2" s="4"/>
      <c r="AJ2" s="14"/>
      <c r="AK2" s="14"/>
      <c r="AL2" s="14"/>
      <c r="AM2" s="14"/>
      <c r="AP2" s="4"/>
      <c r="AQ2" s="4"/>
      <c r="AR2" s="4"/>
      <c r="AS2" s="4"/>
      <c r="AT2" s="4"/>
      <c r="AU2" s="4"/>
      <c r="BB2" s="4"/>
      <c r="BC2" s="14"/>
      <c r="BJ2" s="4"/>
      <c r="BO2" s="4"/>
      <c r="BT2" s="4"/>
    </row>
    <row r="3" spans="2:78" s="2" customFormat="1" ht="21" customHeight="1" x14ac:dyDescent="0.25">
      <c r="B3" s="10"/>
      <c r="C3" s="16" t="s">
        <v>47</v>
      </c>
      <c r="G3" s="203"/>
      <c r="K3" s="17"/>
      <c r="P3" s="513" t="s">
        <v>111</v>
      </c>
      <c r="Q3" s="640" t="s">
        <v>120</v>
      </c>
      <c r="R3" s="640"/>
      <c r="S3" s="640"/>
      <c r="T3" s="203"/>
      <c r="Y3" s="203"/>
      <c r="AL3" s="16"/>
      <c r="AM3" s="16"/>
      <c r="BC3" s="16"/>
    </row>
    <row r="4" spans="2:78" s="2" customFormat="1" ht="15" x14ac:dyDescent="0.25">
      <c r="B4" s="10"/>
      <c r="C4" s="14" t="s">
        <v>48</v>
      </c>
      <c r="G4" s="213"/>
      <c r="K4" s="211"/>
      <c r="M4" s="212"/>
      <c r="N4" s="213"/>
      <c r="P4" s="513" t="s">
        <v>124</v>
      </c>
      <c r="Q4" s="662" t="s">
        <v>126</v>
      </c>
      <c r="R4" s="662"/>
      <c r="S4" s="662"/>
      <c r="T4" s="213"/>
      <c r="U4" s="2" t="s">
        <v>76</v>
      </c>
      <c r="Y4" s="213"/>
      <c r="AL4" s="14"/>
      <c r="AM4" s="14"/>
      <c r="BC4" s="14"/>
    </row>
    <row r="5" spans="2:78" s="2" customFormat="1" ht="15.75" customHeight="1" x14ac:dyDescent="0.25">
      <c r="B5" s="10"/>
      <c r="C5" s="14" t="s">
        <v>49</v>
      </c>
      <c r="D5" s="17"/>
      <c r="E5" s="17"/>
      <c r="F5" s="17"/>
      <c r="H5" s="17"/>
      <c r="I5" s="17"/>
      <c r="J5" s="17"/>
      <c r="K5" s="17"/>
      <c r="L5" s="15"/>
      <c r="M5" s="15"/>
      <c r="O5" s="17"/>
      <c r="P5" s="629"/>
      <c r="Q5" s="17"/>
      <c r="R5" s="15"/>
      <c r="S5" s="15"/>
      <c r="U5" s="244">
        <f>U42/(AM39*1+AN39*2+AO39*3)</f>
        <v>86.385374697824332</v>
      </c>
      <c r="V5" s="2" t="s">
        <v>78</v>
      </c>
      <c r="W5" s="2" t="s">
        <v>77</v>
      </c>
      <c r="Z5" s="244"/>
      <c r="AA5" s="244"/>
      <c r="AB5" s="244"/>
      <c r="AC5" s="244"/>
      <c r="AD5" s="244"/>
      <c r="AL5" s="14"/>
      <c r="AM5" s="14"/>
      <c r="BC5" s="14"/>
    </row>
    <row r="6" spans="2:78" s="3" customFormat="1" ht="7.5" customHeight="1" thickBot="1" x14ac:dyDescent="0.3">
      <c r="B6" s="18"/>
      <c r="C6" s="6"/>
      <c r="D6" s="7"/>
      <c r="E6" s="7"/>
      <c r="F6" s="7"/>
      <c r="G6" s="8"/>
      <c r="H6" s="7"/>
      <c r="I6" s="7"/>
      <c r="J6" s="7"/>
      <c r="K6" s="7"/>
      <c r="L6" s="8"/>
      <c r="M6" s="8"/>
      <c r="N6" s="8"/>
      <c r="O6" s="7"/>
      <c r="P6" s="7"/>
      <c r="Q6" s="7"/>
      <c r="R6" s="8"/>
      <c r="S6" s="8"/>
      <c r="T6" s="8"/>
      <c r="U6" s="6"/>
      <c r="V6" s="6"/>
      <c r="W6" s="6"/>
      <c r="X6" s="6"/>
      <c r="Y6" s="8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9"/>
      <c r="AO6" s="7"/>
      <c r="AP6" s="6"/>
      <c r="AQ6" s="6"/>
      <c r="AR6" s="6"/>
      <c r="AS6" s="6"/>
      <c r="AT6" s="6"/>
      <c r="AU6" s="6"/>
      <c r="AV6" s="7"/>
      <c r="AW6" s="7"/>
      <c r="AX6" s="7"/>
      <c r="AY6" s="7"/>
      <c r="AZ6" s="7"/>
      <c r="BA6" s="7"/>
      <c r="BB6" s="6"/>
      <c r="BC6" s="6"/>
      <c r="BD6" s="9"/>
      <c r="BE6" s="7"/>
      <c r="BF6" s="7"/>
      <c r="BG6" s="7"/>
      <c r="BH6" s="7"/>
      <c r="BI6" s="7"/>
      <c r="BJ6" s="6"/>
      <c r="BK6" s="7"/>
      <c r="BL6" s="7"/>
      <c r="BM6" s="7"/>
      <c r="BN6" s="7"/>
      <c r="BO6" s="6"/>
      <c r="BP6" s="7"/>
      <c r="BQ6" s="7"/>
      <c r="BR6" s="7"/>
      <c r="BS6" s="7"/>
      <c r="BT6" s="6"/>
      <c r="BU6" s="7"/>
      <c r="BV6" s="7"/>
      <c r="BW6" s="7"/>
      <c r="BX6" s="7"/>
      <c r="BY6" s="7"/>
      <c r="BZ6" s="7"/>
    </row>
    <row r="7" spans="2:78" s="3" customFormat="1" ht="15" x14ac:dyDescent="0.25">
      <c r="B7" s="32" t="s">
        <v>107</v>
      </c>
      <c r="C7" s="19" t="s">
        <v>108</v>
      </c>
      <c r="D7" s="647" t="s">
        <v>100</v>
      </c>
      <c r="E7" s="645"/>
      <c r="F7" s="646"/>
      <c r="G7" s="220"/>
      <c r="H7" s="648" t="s">
        <v>109</v>
      </c>
      <c r="I7" s="649"/>
      <c r="J7" s="649"/>
      <c r="K7" s="650"/>
      <c r="L7" s="651" t="s">
        <v>58</v>
      </c>
      <c r="M7" s="652"/>
      <c r="N7" s="485" t="s">
        <v>61</v>
      </c>
      <c r="O7" s="644" t="s">
        <v>110</v>
      </c>
      <c r="P7" s="645"/>
      <c r="Q7" s="651" t="s">
        <v>58</v>
      </c>
      <c r="R7" s="652"/>
      <c r="S7" s="485" t="s">
        <v>61</v>
      </c>
      <c r="T7" s="220"/>
      <c r="U7" s="240" t="s">
        <v>72</v>
      </c>
      <c r="V7" s="215"/>
      <c r="W7" s="215"/>
      <c r="X7" s="241"/>
      <c r="Y7" s="220"/>
      <c r="Z7" s="644" t="s">
        <v>86</v>
      </c>
      <c r="AA7" s="645"/>
      <c r="AB7" s="645"/>
      <c r="AC7" s="645"/>
      <c r="AD7" s="645"/>
      <c r="AE7" s="645"/>
      <c r="AF7" s="645"/>
      <c r="AG7" s="646"/>
      <c r="AH7" s="236"/>
      <c r="AI7" s="644" t="s">
        <v>51</v>
      </c>
      <c r="AJ7" s="645"/>
      <c r="AK7" s="645"/>
      <c r="AL7" s="645"/>
      <c r="AM7" s="653" t="s">
        <v>71</v>
      </c>
      <c r="AN7" s="654"/>
      <c r="AO7" s="655"/>
      <c r="AP7" s="236"/>
      <c r="AQ7" s="659" t="s">
        <v>115</v>
      </c>
      <c r="AR7" s="660"/>
      <c r="AS7" s="660"/>
      <c r="AT7" s="661"/>
      <c r="AU7" s="236"/>
      <c r="AV7" s="641" t="s">
        <v>113</v>
      </c>
      <c r="AW7" s="642"/>
      <c r="AX7" s="642"/>
      <c r="AY7" s="642"/>
      <c r="AZ7" s="642"/>
      <c r="BA7" s="643"/>
      <c r="BB7" s="236"/>
      <c r="BC7" s="656" t="s">
        <v>114</v>
      </c>
      <c r="BD7" s="657"/>
      <c r="BE7" s="657"/>
      <c r="BF7" s="657"/>
      <c r="BG7" s="657"/>
      <c r="BH7" s="657"/>
      <c r="BI7" s="658"/>
      <c r="BJ7" s="236"/>
      <c r="BK7" s="641" t="s">
        <v>106</v>
      </c>
      <c r="BL7" s="642"/>
      <c r="BM7" s="642"/>
      <c r="BN7" s="643"/>
      <c r="BO7" s="236"/>
      <c r="BP7" s="641" t="s">
        <v>117</v>
      </c>
      <c r="BQ7" s="642"/>
      <c r="BR7" s="642"/>
      <c r="BS7" s="643"/>
      <c r="BT7" s="236"/>
      <c r="BU7" s="641" t="s">
        <v>125</v>
      </c>
      <c r="BV7" s="642"/>
      <c r="BW7" s="642"/>
      <c r="BX7" s="642"/>
      <c r="BY7" s="642"/>
      <c r="BZ7" s="643"/>
    </row>
    <row r="8" spans="2:78" s="3" customFormat="1" ht="15.75" thickBot="1" x14ac:dyDescent="0.3">
      <c r="B8" s="33" t="s">
        <v>50</v>
      </c>
      <c r="C8" s="20" t="s">
        <v>105</v>
      </c>
      <c r="D8" s="145" t="s">
        <v>101</v>
      </c>
      <c r="E8" s="30" t="s">
        <v>102</v>
      </c>
      <c r="F8" s="436" t="s">
        <v>11</v>
      </c>
      <c r="G8" s="220"/>
      <c r="H8" s="23" t="s">
        <v>116</v>
      </c>
      <c r="I8" s="48" t="s">
        <v>63</v>
      </c>
      <c r="J8" s="21" t="s">
        <v>122</v>
      </c>
      <c r="K8" s="30" t="s">
        <v>112</v>
      </c>
      <c r="L8" s="22" t="s">
        <v>59</v>
      </c>
      <c r="M8" s="25" t="s">
        <v>60</v>
      </c>
      <c r="N8" s="486" t="s">
        <v>62</v>
      </c>
      <c r="O8" s="23" t="s">
        <v>84</v>
      </c>
      <c r="P8" s="21" t="s">
        <v>82</v>
      </c>
      <c r="Q8" s="277" t="s">
        <v>59</v>
      </c>
      <c r="R8" s="25" t="s">
        <v>60</v>
      </c>
      <c r="S8" s="486" t="s">
        <v>62</v>
      </c>
      <c r="T8" s="220"/>
      <c r="U8" s="224" t="s">
        <v>73</v>
      </c>
      <c r="V8" s="255" t="s">
        <v>61</v>
      </c>
      <c r="W8" s="255" t="s">
        <v>81</v>
      </c>
      <c r="X8" s="402" t="s">
        <v>62</v>
      </c>
      <c r="Y8" s="220"/>
      <c r="Z8" s="224" t="s">
        <v>87</v>
      </c>
      <c r="AA8" s="24" t="s">
        <v>97</v>
      </c>
      <c r="AB8" s="145" t="s">
        <v>98</v>
      </c>
      <c r="AC8" s="402" t="s">
        <v>99</v>
      </c>
      <c r="AD8" s="21" t="s">
        <v>73</v>
      </c>
      <c r="AE8" s="255" t="s">
        <v>61</v>
      </c>
      <c r="AF8" s="255" t="s">
        <v>81</v>
      </c>
      <c r="AG8" s="402" t="s">
        <v>62</v>
      </c>
      <c r="AH8" s="237"/>
      <c r="AI8" s="224" t="s">
        <v>11</v>
      </c>
      <c r="AJ8" s="26" t="s">
        <v>52</v>
      </c>
      <c r="AK8" s="27" t="s">
        <v>53</v>
      </c>
      <c r="AL8" s="22" t="s">
        <v>54</v>
      </c>
      <c r="AM8" s="28" t="s">
        <v>56</v>
      </c>
      <c r="AN8" s="29" t="s">
        <v>57</v>
      </c>
      <c r="AO8" s="30" t="s">
        <v>55</v>
      </c>
      <c r="AP8" s="237"/>
      <c r="AQ8" s="340">
        <v>2011</v>
      </c>
      <c r="AR8" s="308">
        <v>2012</v>
      </c>
      <c r="AS8" s="24" t="s">
        <v>89</v>
      </c>
      <c r="AT8" s="30" t="s">
        <v>90</v>
      </c>
      <c r="AU8" s="237"/>
      <c r="AV8" s="340">
        <v>2011</v>
      </c>
      <c r="AW8" s="308">
        <v>2012</v>
      </c>
      <c r="AX8" s="24" t="s">
        <v>89</v>
      </c>
      <c r="AY8" s="145" t="s">
        <v>90</v>
      </c>
      <c r="AZ8" s="23" t="s">
        <v>87</v>
      </c>
      <c r="BA8" s="436" t="s">
        <v>88</v>
      </c>
      <c r="BB8" s="237"/>
      <c r="BC8" s="28" t="s">
        <v>64</v>
      </c>
      <c r="BD8" s="29" t="s">
        <v>65</v>
      </c>
      <c r="BE8" s="145" t="s">
        <v>66</v>
      </c>
      <c r="BF8" s="30" t="s">
        <v>67</v>
      </c>
      <c r="BG8" s="21" t="s">
        <v>92</v>
      </c>
      <c r="BH8" s="23" t="s">
        <v>87</v>
      </c>
      <c r="BI8" s="430" t="s">
        <v>91</v>
      </c>
      <c r="BJ8" s="237"/>
      <c r="BK8" s="23" t="s">
        <v>11</v>
      </c>
      <c r="BL8" s="24" t="s">
        <v>68</v>
      </c>
      <c r="BM8" s="24" t="s">
        <v>69</v>
      </c>
      <c r="BN8" s="30" t="s">
        <v>70</v>
      </c>
      <c r="BO8" s="237"/>
      <c r="BP8" s="224" t="s">
        <v>118</v>
      </c>
      <c r="BQ8" s="224" t="s">
        <v>119</v>
      </c>
      <c r="BR8" s="23" t="s">
        <v>87</v>
      </c>
      <c r="BS8" s="436" t="s">
        <v>93</v>
      </c>
      <c r="BT8" s="237"/>
      <c r="BU8" s="224" t="s">
        <v>96</v>
      </c>
      <c r="BV8" s="24" t="s">
        <v>94</v>
      </c>
      <c r="BW8" s="145" t="s">
        <v>95</v>
      </c>
      <c r="BX8" s="30" t="s">
        <v>92</v>
      </c>
      <c r="BY8" s="23" t="s">
        <v>87</v>
      </c>
      <c r="BZ8" s="436" t="s">
        <v>88</v>
      </c>
    </row>
    <row r="9" spans="2:78" s="3" customFormat="1" ht="7.5" customHeight="1" thickBot="1" x14ac:dyDescent="0.3">
      <c r="B9" s="18"/>
      <c r="C9" s="6"/>
      <c r="D9" s="7"/>
      <c r="E9" s="7"/>
      <c r="F9" s="7"/>
      <c r="G9" s="37"/>
      <c r="H9" s="7"/>
      <c r="I9" s="7"/>
      <c r="J9" s="7"/>
      <c r="K9" s="7"/>
      <c r="L9" s="8"/>
      <c r="M9" s="8"/>
      <c r="N9" s="8"/>
      <c r="O9" s="7"/>
      <c r="P9" s="7"/>
      <c r="Q9" s="8"/>
      <c r="R9" s="8"/>
      <c r="S9" s="8"/>
      <c r="T9" s="37"/>
      <c r="U9" s="6"/>
      <c r="V9" s="6"/>
      <c r="W9" s="6"/>
      <c r="X9" s="6"/>
      <c r="Y9" s="37"/>
      <c r="Z9" s="566"/>
      <c r="AA9" s="566"/>
      <c r="AB9" s="566"/>
      <c r="AC9" s="566"/>
      <c r="AD9" s="566"/>
      <c r="AE9" s="566"/>
      <c r="AF9" s="566"/>
      <c r="AG9" s="566"/>
      <c r="AH9" s="6"/>
      <c r="AI9" s="6"/>
      <c r="AJ9" s="6"/>
      <c r="AK9" s="6"/>
      <c r="AL9" s="6"/>
      <c r="AM9" s="6"/>
      <c r="AN9" s="9"/>
      <c r="AO9" s="7"/>
      <c r="AP9" s="6"/>
      <c r="AQ9" s="7"/>
      <c r="AR9" s="7"/>
      <c r="AS9" s="7"/>
      <c r="AT9" s="7"/>
      <c r="AU9" s="6"/>
      <c r="AV9" s="7"/>
      <c r="AW9" s="7"/>
      <c r="AX9" s="7"/>
      <c r="AY9" s="7"/>
      <c r="AZ9" s="7"/>
      <c r="BA9" s="7"/>
      <c r="BB9" s="6"/>
      <c r="BC9" s="6"/>
      <c r="BD9" s="9"/>
      <c r="BE9" s="7"/>
      <c r="BF9" s="7"/>
      <c r="BG9" s="7"/>
      <c r="BH9" s="7"/>
      <c r="BI9" s="7"/>
      <c r="BJ9" s="6"/>
      <c r="BK9" s="7"/>
      <c r="BL9" s="7"/>
      <c r="BM9" s="7"/>
      <c r="BN9" s="7"/>
      <c r="BO9" s="6"/>
      <c r="BP9" s="7"/>
      <c r="BQ9" s="7"/>
      <c r="BR9" s="7"/>
      <c r="BS9" s="7"/>
      <c r="BT9" s="6"/>
      <c r="BU9" s="7"/>
      <c r="BV9" s="7"/>
      <c r="BW9" s="7"/>
      <c r="BX9" s="7"/>
      <c r="BY9" s="7"/>
      <c r="BZ9" s="7"/>
    </row>
    <row r="10" spans="2:78" s="3" customFormat="1" ht="15" x14ac:dyDescent="0.25">
      <c r="B10" s="217" t="s">
        <v>12</v>
      </c>
      <c r="C10" s="415" t="s">
        <v>43</v>
      </c>
      <c r="D10" s="425" t="s">
        <v>12</v>
      </c>
      <c r="E10" s="431" t="s">
        <v>12</v>
      </c>
      <c r="F10" s="441" t="s">
        <v>12</v>
      </c>
      <c r="G10" s="221"/>
      <c r="H10" s="38" t="s">
        <v>12</v>
      </c>
      <c r="I10" s="50" t="s">
        <v>12</v>
      </c>
      <c r="J10" s="50" t="s">
        <v>12</v>
      </c>
      <c r="K10" s="39" t="s">
        <v>12</v>
      </c>
      <c r="L10" s="62" t="s">
        <v>12</v>
      </c>
      <c r="M10" s="63" t="s">
        <v>12</v>
      </c>
      <c r="N10" s="63" t="s">
        <v>12</v>
      </c>
      <c r="O10" s="38" t="s">
        <v>12</v>
      </c>
      <c r="P10" s="278" t="s">
        <v>12</v>
      </c>
      <c r="Q10" s="279" t="s">
        <v>12</v>
      </c>
      <c r="R10" s="63" t="s">
        <v>12</v>
      </c>
      <c r="S10" s="63" t="s">
        <v>12</v>
      </c>
      <c r="T10" s="221"/>
      <c r="U10" s="225" t="s">
        <v>12</v>
      </c>
      <c r="V10" s="256" t="s">
        <v>12</v>
      </c>
      <c r="W10" s="256" t="s">
        <v>12</v>
      </c>
      <c r="X10" s="403" t="s">
        <v>12</v>
      </c>
      <c r="Y10" s="221"/>
      <c r="Z10" s="225" t="s">
        <v>12</v>
      </c>
      <c r="AA10" s="64" t="s">
        <v>12</v>
      </c>
      <c r="AB10" s="256" t="s">
        <v>12</v>
      </c>
      <c r="AC10" s="403" t="s">
        <v>12</v>
      </c>
      <c r="AD10" s="567" t="s">
        <v>12</v>
      </c>
      <c r="AE10" s="256" t="s">
        <v>12</v>
      </c>
      <c r="AF10" s="256" t="s">
        <v>12</v>
      </c>
      <c r="AG10" s="403" t="s">
        <v>12</v>
      </c>
      <c r="AH10" s="238"/>
      <c r="AI10" s="225" t="s">
        <v>12</v>
      </c>
      <c r="AJ10" s="64" t="s">
        <v>12</v>
      </c>
      <c r="AK10" s="64" t="s">
        <v>12</v>
      </c>
      <c r="AL10" s="65" t="s">
        <v>12</v>
      </c>
      <c r="AM10" s="66" t="s">
        <v>12</v>
      </c>
      <c r="AN10" s="67" t="s">
        <v>12</v>
      </c>
      <c r="AO10" s="68" t="s">
        <v>12</v>
      </c>
      <c r="AP10" s="238"/>
      <c r="AQ10" s="317" t="s">
        <v>12</v>
      </c>
      <c r="AR10" s="328" t="s">
        <v>12</v>
      </c>
      <c r="AS10" s="306" t="s">
        <v>12</v>
      </c>
      <c r="AT10" s="68" t="s">
        <v>12</v>
      </c>
      <c r="AU10" s="238"/>
      <c r="AV10" s="317" t="s">
        <v>12</v>
      </c>
      <c r="AW10" s="328" t="s">
        <v>12</v>
      </c>
      <c r="AX10" s="306" t="s">
        <v>12</v>
      </c>
      <c r="AY10" s="162" t="s">
        <v>12</v>
      </c>
      <c r="AZ10" s="180" t="s">
        <v>12</v>
      </c>
      <c r="BA10" s="65" t="s">
        <v>12</v>
      </c>
      <c r="BB10" s="238"/>
      <c r="BC10" s="341" t="s">
        <v>12</v>
      </c>
      <c r="BD10" s="67" t="s">
        <v>12</v>
      </c>
      <c r="BE10" s="147" t="s">
        <v>12</v>
      </c>
      <c r="BF10" s="68" t="s">
        <v>12</v>
      </c>
      <c r="BG10" s="180" t="s">
        <v>12</v>
      </c>
      <c r="BH10" s="180" t="s">
        <v>12</v>
      </c>
      <c r="BI10" s="65" t="s">
        <v>12</v>
      </c>
      <c r="BJ10" s="238"/>
      <c r="BK10" s="180" t="s">
        <v>12</v>
      </c>
      <c r="BL10" s="171" t="s">
        <v>12</v>
      </c>
      <c r="BM10" s="162" t="s">
        <v>12</v>
      </c>
      <c r="BN10" s="68" t="s">
        <v>12</v>
      </c>
      <c r="BO10" s="238"/>
      <c r="BP10" s="317">
        <f>SUM(BP11:BP14)</f>
        <v>64</v>
      </c>
      <c r="BQ10" s="545" t="s">
        <v>12</v>
      </c>
      <c r="BR10" s="306" t="s">
        <v>12</v>
      </c>
      <c r="BS10" s="370" t="s">
        <v>12</v>
      </c>
      <c r="BT10" s="238"/>
      <c r="BU10" s="317" t="s">
        <v>12</v>
      </c>
      <c r="BV10" s="147" t="s">
        <v>12</v>
      </c>
      <c r="BW10" s="162" t="str">
        <f>AV10</f>
        <v>---</v>
      </c>
      <c r="BX10" s="370" t="s">
        <v>12</v>
      </c>
      <c r="BY10" s="180" t="s">
        <v>12</v>
      </c>
      <c r="BZ10" s="65" t="s">
        <v>12</v>
      </c>
    </row>
    <row r="11" spans="2:78" s="3" customFormat="1" ht="15" x14ac:dyDescent="0.25">
      <c r="B11" s="384" t="s">
        <v>14</v>
      </c>
      <c r="C11" s="416" t="s">
        <v>44</v>
      </c>
      <c r="D11" s="445">
        <f>X11</f>
        <v>26002</v>
      </c>
      <c r="E11" s="446">
        <f>AG11</f>
        <v>2459</v>
      </c>
      <c r="F11" s="471">
        <f>D11+E11</f>
        <v>28461</v>
      </c>
      <c r="G11" s="218"/>
      <c r="H11" s="61">
        <v>40938</v>
      </c>
      <c r="I11" s="51">
        <v>35200</v>
      </c>
      <c r="J11" s="36">
        <v>40949</v>
      </c>
      <c r="K11" s="36">
        <v>40983</v>
      </c>
      <c r="L11" s="69">
        <v>0</v>
      </c>
      <c r="M11" s="70">
        <v>0</v>
      </c>
      <c r="N11" s="139">
        <v>0</v>
      </c>
      <c r="O11" s="61" t="s">
        <v>85</v>
      </c>
      <c r="P11" s="289"/>
      <c r="Q11" s="290">
        <v>0</v>
      </c>
      <c r="R11" s="70">
        <v>0</v>
      </c>
      <c r="S11" s="139">
        <f>IF(R11="","",R11*5/100)</f>
        <v>0</v>
      </c>
      <c r="T11" s="218"/>
      <c r="U11" s="245">
        <f>$U$5*AM11+$U$5*2*AN11+$U$5*3*AO11</f>
        <v>26001.997784045125</v>
      </c>
      <c r="V11" s="257">
        <f>-U11*N11</f>
        <v>0</v>
      </c>
      <c r="W11" s="487">
        <f>U11+V11</f>
        <v>26001.997784045125</v>
      </c>
      <c r="X11" s="492">
        <f>ROUND(W11,0)</f>
        <v>26002</v>
      </c>
      <c r="Y11" s="218"/>
      <c r="Z11" s="568">
        <f>SUM(BA11,BI11,BS11,BZ11)</f>
        <v>46.55086277624099</v>
      </c>
      <c r="AA11" s="569">
        <f>(Z11/($Z$39/21))-1</f>
        <v>-0.24654469935851231</v>
      </c>
      <c r="AB11" s="570">
        <f>Z11*AI11</f>
        <v>6703.3242397787026</v>
      </c>
      <c r="AC11" s="571">
        <f>AB11/$AB$39</f>
        <v>5.0181315438621713E-2</v>
      </c>
      <c r="AD11" s="572">
        <f>ROUND(AC11*$AD$42,0)</f>
        <v>2459</v>
      </c>
      <c r="AE11" s="487">
        <f>-AD11*S11</f>
        <v>0</v>
      </c>
      <c r="AF11" s="487">
        <f>AD11+AE11</f>
        <v>2459</v>
      </c>
      <c r="AG11" s="492">
        <f>ROUND(AF11,0)</f>
        <v>2459</v>
      </c>
      <c r="AH11" s="69"/>
      <c r="AI11" s="226">
        <f>AJ11+AL11</f>
        <v>144</v>
      </c>
      <c r="AJ11" s="528">
        <v>140</v>
      </c>
      <c r="AK11" s="71">
        <v>0</v>
      </c>
      <c r="AL11" s="72">
        <v>4</v>
      </c>
      <c r="AM11" s="73">
        <v>57</v>
      </c>
      <c r="AN11" s="74">
        <v>17</v>
      </c>
      <c r="AO11" s="75">
        <v>70</v>
      </c>
      <c r="AP11" s="69"/>
      <c r="AQ11" s="318">
        <v>142</v>
      </c>
      <c r="AR11" s="330">
        <f>AI11</f>
        <v>144</v>
      </c>
      <c r="AS11" s="309">
        <f>AR11-AQ11</f>
        <v>2</v>
      </c>
      <c r="AT11" s="529">
        <f>AS11/AQ11</f>
        <v>1.4084507042253521E-2</v>
      </c>
      <c r="AU11" s="69"/>
      <c r="AV11" s="318">
        <v>71</v>
      </c>
      <c r="AW11" s="329">
        <f>AO11</f>
        <v>70</v>
      </c>
      <c r="AX11" s="309">
        <f>AW11-AV11</f>
        <v>-1</v>
      </c>
      <c r="AY11" s="351">
        <f>AX11/AV11</f>
        <v>-1.4084507042253521E-2</v>
      </c>
      <c r="AZ11" s="408">
        <f>100*(AY11-MIN(AY$11:AY$14,AY$17:AY$18,AY$21:AY$29,AY$32:AY$37))/(MAX(AY$11:AY$14,AY$17:AY$18,AY$21:AY$29,AY$32:AY$37)-MIN(AY$11:AY$14,AY$17:AY$18,AY$21:AY$29,AY$32:AY$37))</f>
        <v>68.603776246796301</v>
      </c>
      <c r="BA11" s="507">
        <f>AZ11*0.2</f>
        <v>13.720755249359261</v>
      </c>
      <c r="BB11" s="69"/>
      <c r="BC11" s="342">
        <f t="shared" ref="BC11:BC14" si="0">BK11-BD11</f>
        <v>2</v>
      </c>
      <c r="BD11" s="146">
        <v>1</v>
      </c>
      <c r="BE11" s="148">
        <f t="shared" ref="BE11:BE13" si="1">BL11-BF11</f>
        <v>2</v>
      </c>
      <c r="BF11" s="75">
        <v>0</v>
      </c>
      <c r="BG11" s="362">
        <f>(BC11+BE11)/SUM(BC11:BF11)</f>
        <v>0.8</v>
      </c>
      <c r="BH11" s="408">
        <f>100*(BG11-MIN(BG$11:BG$14,BG$17:BG$18,BG$21:BG$29,BG$32:BG$37))/(MAX(BG$11:BG$14,BG$17:BG$18,BG$21:BG$29,BG$32:BG$37)-MIN(BG$11:BG$14,BG$17:BG$18,BG$21:BG$29,BG$32:BG$37))</f>
        <v>73.333333333333343</v>
      </c>
      <c r="BI11" s="507">
        <f>BH11*0.25</f>
        <v>18.333333333333336</v>
      </c>
      <c r="BJ11" s="69"/>
      <c r="BK11" s="181">
        <f>SUM(BL11:BN11)</f>
        <v>3</v>
      </c>
      <c r="BL11" s="172">
        <v>2</v>
      </c>
      <c r="BM11" s="163">
        <v>0</v>
      </c>
      <c r="BN11" s="161">
        <v>1</v>
      </c>
      <c r="BO11" s="69"/>
      <c r="BP11" s="548">
        <v>14</v>
      </c>
      <c r="BQ11" s="549">
        <v>3.21</v>
      </c>
      <c r="BR11" s="394">
        <f>100*(BQ11-MIN(BQ$11:BQ$14,BQ$17:BQ$18,BQ$21:BQ$29,BQ$32:BQ$37))/(MAX(BQ$11:BQ$14,BQ$17:BQ$18,BQ$21:BQ$29,BQ$32:BQ$37)-MIN(BQ$11:BQ$14,BQ$17:BQ$18,BQ$21:BQ$29,BQ$32:BQ$37))</f>
        <v>41.41935483870968</v>
      </c>
      <c r="BS11" s="507">
        <f>BR11*0.35</f>
        <v>14.496774193548386</v>
      </c>
      <c r="BT11" s="69"/>
      <c r="BU11" s="318">
        <v>3</v>
      </c>
      <c r="BV11" s="381">
        <v>0</v>
      </c>
      <c r="BW11" s="163">
        <v>71</v>
      </c>
      <c r="BX11" s="372">
        <f>BV11/BW11/100</f>
        <v>0</v>
      </c>
      <c r="BY11" s="394">
        <f>100*(BX11-MIN(BX$11:BX$14,BX$17:BX$18,BX$21:BX$29,BX$32:BX$37))/(MAX(BX$11:BX$14,BX$17:BX$18,BX$21:BX$29,BX$32:BX$37)-MIN(BX$11:BX$14,BX$17:BX$18,BX$21:BX$29,BX$32:BX$37))</f>
        <v>0</v>
      </c>
      <c r="BZ11" s="507">
        <f>BY11*0.2</f>
        <v>0</v>
      </c>
    </row>
    <row r="12" spans="2:78" s="3" customFormat="1" ht="15" x14ac:dyDescent="0.25">
      <c r="B12" s="385" t="s">
        <v>15</v>
      </c>
      <c r="C12" s="417" t="s">
        <v>0</v>
      </c>
      <c r="D12" s="447">
        <f>X12</f>
        <v>14254</v>
      </c>
      <c r="E12" s="448">
        <f>AG12</f>
        <v>1390</v>
      </c>
      <c r="F12" s="472">
        <f>D12+E12</f>
        <v>15644</v>
      </c>
      <c r="G12" s="222"/>
      <c r="H12" s="291">
        <v>40939</v>
      </c>
      <c r="I12" s="52">
        <v>18570</v>
      </c>
      <c r="J12" s="49">
        <v>40967</v>
      </c>
      <c r="K12" s="516">
        <v>41014</v>
      </c>
      <c r="L12" s="517">
        <v>0</v>
      </c>
      <c r="M12" s="294">
        <v>0</v>
      </c>
      <c r="N12" s="295">
        <v>0</v>
      </c>
      <c r="O12" s="291" t="s">
        <v>85</v>
      </c>
      <c r="P12" s="292"/>
      <c r="Q12" s="293">
        <v>0</v>
      </c>
      <c r="R12" s="294">
        <v>0</v>
      </c>
      <c r="S12" s="295">
        <f t="shared" ref="S12:S14" si="2">IF(R12="","",R12*5/100)</f>
        <v>0</v>
      </c>
      <c r="T12" s="222"/>
      <c r="U12" s="246">
        <f t="shared" ref="U12:U14" si="3">$U$5*AM12+$U$5*2*AN12+$U$5*3*AO12</f>
        <v>14253.586825141016</v>
      </c>
      <c r="V12" s="258">
        <f>-U12*N12</f>
        <v>0</v>
      </c>
      <c r="W12" s="488">
        <f>U12+V12</f>
        <v>14253.586825141016</v>
      </c>
      <c r="X12" s="493">
        <f t="shared" ref="X12:X14" si="4">ROUND(W12,0)</f>
        <v>14254</v>
      </c>
      <c r="Y12" s="222"/>
      <c r="Z12" s="573">
        <f>SUM(BA12,BI12,BS12,BZ12)</f>
        <v>56.554216493302818</v>
      </c>
      <c r="AA12" s="574">
        <f>(Z12/($Z$39/21))-1</f>
        <v>-8.4634061556997708E-2</v>
      </c>
      <c r="AB12" s="575">
        <f>Z12*AI12</f>
        <v>3789.1325050512887</v>
      </c>
      <c r="AC12" s="576">
        <f>AB12/$AB$39</f>
        <v>2.8365576044549326E-2</v>
      </c>
      <c r="AD12" s="577">
        <f>ROUND(AC12*$AD$42,0)</f>
        <v>1390</v>
      </c>
      <c r="AE12" s="627">
        <f>-AD12*S12</f>
        <v>0</v>
      </c>
      <c r="AF12" s="488">
        <f t="shared" ref="AF12:AF37" si="5">AD12+AE12</f>
        <v>1390</v>
      </c>
      <c r="AG12" s="493">
        <f t="shared" ref="AG12:AG37" si="6">ROUND(AF12,0)</f>
        <v>1390</v>
      </c>
      <c r="AH12" s="69"/>
      <c r="AI12" s="227">
        <f>AJ12+AL12</f>
        <v>67</v>
      </c>
      <c r="AJ12" s="78">
        <v>65</v>
      </c>
      <c r="AK12" s="78">
        <v>0</v>
      </c>
      <c r="AL12" s="79">
        <v>2</v>
      </c>
      <c r="AM12" s="80">
        <v>16</v>
      </c>
      <c r="AN12" s="81">
        <v>4</v>
      </c>
      <c r="AO12" s="82">
        <v>47</v>
      </c>
      <c r="AP12" s="69"/>
      <c r="AQ12" s="319">
        <v>70</v>
      </c>
      <c r="AR12" s="330">
        <f>AI12</f>
        <v>67</v>
      </c>
      <c r="AS12" s="310">
        <f t="shared" ref="AS12:AS14" si="7">AR12-AQ12</f>
        <v>-3</v>
      </c>
      <c r="AT12" s="530">
        <f t="shared" ref="AT12:AT14" si="8">AS12/AQ12</f>
        <v>-4.2857142857142858E-2</v>
      </c>
      <c r="AU12" s="69"/>
      <c r="AV12" s="319">
        <v>49</v>
      </c>
      <c r="AW12" s="330">
        <f t="shared" ref="AW12:AW14" si="9">AO12</f>
        <v>47</v>
      </c>
      <c r="AX12" s="310">
        <f t="shared" ref="AX12:AX14" si="10">AW12-AV12</f>
        <v>-2</v>
      </c>
      <c r="AY12" s="352">
        <f t="shared" ref="AY12:AY14" si="11">AX12/AV12</f>
        <v>-4.0816326530612242E-2</v>
      </c>
      <c r="AZ12" s="409">
        <f>100*(AY12-MIN(AY$11:AY$14,AY$17:AY$18,AY$21:AY$29,AY$32:AY$37))/(MAX(AY$11:AY$14,AY$17:AY$18,AY$21:AY$29,AY$32:AY$37)-MIN(AY$11:AY$14,AY$17:AY$18,AY$21:AY$29,AY$32:AY$37))</f>
        <v>64.464583830193178</v>
      </c>
      <c r="BA12" s="508">
        <f t="shared" ref="BA12:BA37" si="12">AZ12*0.2</f>
        <v>12.892916766038637</v>
      </c>
      <c r="BB12" s="69"/>
      <c r="BC12" s="342">
        <f t="shared" si="0"/>
        <v>4</v>
      </c>
      <c r="BD12" s="81">
        <v>0</v>
      </c>
      <c r="BE12" s="148">
        <f t="shared" si="1"/>
        <v>1</v>
      </c>
      <c r="BF12" s="158">
        <v>2</v>
      </c>
      <c r="BG12" s="362">
        <f>(BC12+BE12)/SUM(BC12:BF12)</f>
        <v>0.7142857142857143</v>
      </c>
      <c r="BH12" s="409">
        <f>100*(BG12-MIN(BG$11:BG$14,BG$17:BG$18,BG$21:BG$29,BG$32:BG$37))/(MAX(BG$11:BG$14,BG$17:BG$18,BG$21:BG$29,BG$32:BG$37)-MIN(BG$11:BG$14,BG$17:BG$18,BG$21:BG$29,BG$32:BG$37))</f>
        <v>61.904761904761905</v>
      </c>
      <c r="BI12" s="508">
        <f t="shared" ref="BI12:BI37" si="13">BH12*0.25</f>
        <v>15.476190476190476</v>
      </c>
      <c r="BJ12" s="69"/>
      <c r="BK12" s="182">
        <f>SUM(BL12:BN12)</f>
        <v>4</v>
      </c>
      <c r="BL12" s="173">
        <v>3</v>
      </c>
      <c r="BM12" s="164">
        <v>1</v>
      </c>
      <c r="BN12" s="82">
        <v>0</v>
      </c>
      <c r="BO12" s="69"/>
      <c r="BP12" s="550">
        <v>18</v>
      </c>
      <c r="BQ12" s="551">
        <v>3.28</v>
      </c>
      <c r="BR12" s="395">
        <f t="shared" ref="BR12:BR14" si="14">100*(BQ12-MIN(BQ$11:BQ$14,BQ$17:BQ$18,BQ$21:BQ$29,BQ$32:BQ$37))/(MAX(BQ$11:BQ$14,BQ$17:BQ$18,BQ$21:BQ$29,BQ$32:BQ$37)-MIN(BQ$11:BQ$14,BQ$17:BQ$18,BQ$21:BQ$29,BQ$32:BQ$37))</f>
        <v>42.322580645161288</v>
      </c>
      <c r="BS12" s="508">
        <f t="shared" ref="BS12:BS37" si="15">BR12*0.35</f>
        <v>14.812903225806449</v>
      </c>
      <c r="BT12" s="69"/>
      <c r="BU12" s="319">
        <v>1</v>
      </c>
      <c r="BV12" s="148">
        <v>516</v>
      </c>
      <c r="BW12" s="164">
        <v>49</v>
      </c>
      <c r="BX12" s="373">
        <f>BV12/BW12/100</f>
        <v>0.10530612244897959</v>
      </c>
      <c r="BY12" s="395">
        <f>100*(BX12-MIN(BX$11:BX$14,BX$17:BX$18,BX$21:BX$29,BX$32:BX$37))/(MAX(BX$11:BX$14,BX$17:BX$18,BX$21:BX$29,BX$32:BX$37)-MIN(BX$11:BX$14,BX$17:BX$18,BX$21:BX$29,BX$32:BX$37))</f>
        <v>66.861030126336246</v>
      </c>
      <c r="BZ12" s="508">
        <f t="shared" ref="BZ12:BZ37" si="16">BY12*0.2</f>
        <v>13.37220602526725</v>
      </c>
    </row>
    <row r="13" spans="2:78" s="3" customFormat="1" ht="15" x14ac:dyDescent="0.25">
      <c r="B13" s="385" t="s">
        <v>16</v>
      </c>
      <c r="C13" s="417" t="s">
        <v>1</v>
      </c>
      <c r="D13" s="447">
        <f>X13</f>
        <v>9330</v>
      </c>
      <c r="E13" s="448">
        <f>AG13</f>
        <v>952</v>
      </c>
      <c r="F13" s="472">
        <f>D13+E13</f>
        <v>10282</v>
      </c>
      <c r="G13" s="222"/>
      <c r="H13" s="291">
        <v>40939</v>
      </c>
      <c r="I13" s="52">
        <v>13200</v>
      </c>
      <c r="J13" s="49">
        <v>40968</v>
      </c>
      <c r="K13" s="49">
        <v>40988</v>
      </c>
      <c r="L13" s="517">
        <v>0</v>
      </c>
      <c r="M13" s="294">
        <v>0</v>
      </c>
      <c r="N13" s="295">
        <v>0</v>
      </c>
      <c r="O13" s="291" t="s">
        <v>85</v>
      </c>
      <c r="P13" s="292"/>
      <c r="Q13" s="293">
        <v>0</v>
      </c>
      <c r="R13" s="294">
        <v>0</v>
      </c>
      <c r="S13" s="295">
        <f t="shared" si="2"/>
        <v>0</v>
      </c>
      <c r="T13" s="222"/>
      <c r="U13" s="246">
        <f t="shared" si="3"/>
        <v>9329.6204673650282</v>
      </c>
      <c r="V13" s="258">
        <f>-U13*N13</f>
        <v>0</v>
      </c>
      <c r="W13" s="488">
        <f>U13+V13</f>
        <v>9329.6204673650282</v>
      </c>
      <c r="X13" s="493">
        <f t="shared" si="4"/>
        <v>9330</v>
      </c>
      <c r="Y13" s="222"/>
      <c r="Z13" s="573">
        <f>SUM(BA13,BI13,BS13,BZ13)</f>
        <v>49.891214980615899</v>
      </c>
      <c r="AA13" s="574">
        <f>(Z13/($Z$39/21))-1</f>
        <v>-0.19247897588323648</v>
      </c>
      <c r="AB13" s="575">
        <f>Z13*AI13</f>
        <v>2594.3431789920269</v>
      </c>
      <c r="AC13" s="576">
        <f>AB13/$AB$39</f>
        <v>1.9421342122835077E-2</v>
      </c>
      <c r="AD13" s="577">
        <f>ROUND(AC13*$AD$42,0)</f>
        <v>952</v>
      </c>
      <c r="AE13" s="627">
        <f>-AD13*S13</f>
        <v>0</v>
      </c>
      <c r="AF13" s="488">
        <f t="shared" si="5"/>
        <v>952</v>
      </c>
      <c r="AG13" s="493">
        <f t="shared" si="6"/>
        <v>952</v>
      </c>
      <c r="AH13" s="69"/>
      <c r="AI13" s="227">
        <f t="shared" ref="AI13:AI14" si="17">AJ13+AL13</f>
        <v>52</v>
      </c>
      <c r="AJ13" s="78">
        <v>51</v>
      </c>
      <c r="AK13" s="78">
        <v>0</v>
      </c>
      <c r="AL13" s="79">
        <v>1</v>
      </c>
      <c r="AM13" s="80">
        <v>15</v>
      </c>
      <c r="AN13" s="81">
        <v>18</v>
      </c>
      <c r="AO13" s="82">
        <v>19</v>
      </c>
      <c r="AP13" s="69"/>
      <c r="AQ13" s="319">
        <v>66</v>
      </c>
      <c r="AR13" s="330">
        <f>AI13</f>
        <v>52</v>
      </c>
      <c r="AS13" s="310">
        <f t="shared" si="7"/>
        <v>-14</v>
      </c>
      <c r="AT13" s="530">
        <f t="shared" si="8"/>
        <v>-0.21212121212121213</v>
      </c>
      <c r="AU13" s="69"/>
      <c r="AV13" s="319">
        <v>35</v>
      </c>
      <c r="AW13" s="330">
        <f t="shared" si="9"/>
        <v>19</v>
      </c>
      <c r="AX13" s="310">
        <f t="shared" si="10"/>
        <v>-16</v>
      </c>
      <c r="AY13" s="352">
        <f t="shared" si="11"/>
        <v>-0.45714285714285713</v>
      </c>
      <c r="AZ13" s="409">
        <f>100*(AY13-MIN(AY$11:AY$14,AY$17:AY$18,AY$21:AY$29,AY$32:AY$37))/(MAX(AY$11:AY$14,AY$17:AY$18,AY$21:AY$29,AY$32:AY$37)-MIN(AY$11:AY$14,AY$17:AY$18,AY$21:AY$29,AY$32:AY$37))</f>
        <v>0</v>
      </c>
      <c r="BA13" s="508">
        <f t="shared" si="12"/>
        <v>0</v>
      </c>
      <c r="BB13" s="69"/>
      <c r="BC13" s="342">
        <f t="shared" si="0"/>
        <v>3</v>
      </c>
      <c r="BD13" s="81">
        <v>0</v>
      </c>
      <c r="BE13" s="148">
        <f t="shared" si="1"/>
        <v>1</v>
      </c>
      <c r="BF13" s="82">
        <v>0</v>
      </c>
      <c r="BG13" s="362">
        <f>(BC13+BE13)/SUM(BC13:BF13)</f>
        <v>1</v>
      </c>
      <c r="BH13" s="409">
        <f>100*(BG13-MIN(BG$11:BG$14,BG$17:BG$18,BG$21:BG$29,BG$32:BG$37))/(MAX(BG$11:BG$14,BG$17:BG$18,BG$21:BG$29,BG$32:BG$37)-MIN(BG$11:BG$14,BG$17:BG$18,BG$21:BG$29,BG$32:BG$37))</f>
        <v>100</v>
      </c>
      <c r="BI13" s="508">
        <f t="shared" si="13"/>
        <v>25</v>
      </c>
      <c r="BJ13" s="69"/>
      <c r="BK13" s="182">
        <f>SUM(BL13:BN13)</f>
        <v>3</v>
      </c>
      <c r="BL13" s="173">
        <v>1</v>
      </c>
      <c r="BM13" s="164">
        <v>1</v>
      </c>
      <c r="BN13" s="82">
        <v>1</v>
      </c>
      <c r="BO13" s="69"/>
      <c r="BP13" s="550">
        <v>12</v>
      </c>
      <c r="BQ13" s="551">
        <v>4.17</v>
      </c>
      <c r="BR13" s="395">
        <f t="shared" si="14"/>
        <v>53.806451612903224</v>
      </c>
      <c r="BS13" s="508">
        <f t="shared" si="15"/>
        <v>18.832258064516129</v>
      </c>
      <c r="BT13" s="69"/>
      <c r="BU13" s="319">
        <v>1</v>
      </c>
      <c r="BV13" s="148">
        <v>167</v>
      </c>
      <c r="BW13" s="164">
        <v>35</v>
      </c>
      <c r="BX13" s="373">
        <f>BV13/BW13/100</f>
        <v>4.7714285714285716E-2</v>
      </c>
      <c r="BY13" s="395">
        <f>100*(BX13-MIN(BX$11:BX$14,BX$17:BX$18,BX$21:BX$29,BX$32:BX$37))/(MAX(BX$11:BX$14,BX$17:BX$18,BX$21:BX$29,BX$32:BX$37)-MIN(BX$11:BX$14,BX$17:BX$18,BX$21:BX$29,BX$32:BX$37))</f>
        <v>30.294784580498867</v>
      </c>
      <c r="BZ13" s="508">
        <f t="shared" si="16"/>
        <v>6.058956916099774</v>
      </c>
    </row>
    <row r="14" spans="2:78" s="3" customFormat="1" ht="15.75" thickBot="1" x14ac:dyDescent="0.3">
      <c r="B14" s="386" t="s">
        <v>17</v>
      </c>
      <c r="C14" s="418" t="s">
        <v>45</v>
      </c>
      <c r="D14" s="449">
        <f>X14</f>
        <v>23842</v>
      </c>
      <c r="E14" s="450">
        <f>AG14</f>
        <v>2206</v>
      </c>
      <c r="F14" s="473">
        <f>D14+E14</f>
        <v>26048</v>
      </c>
      <c r="G14" s="222"/>
      <c r="H14" s="296">
        <v>40939</v>
      </c>
      <c r="I14" s="53">
        <f>30000+360</f>
        <v>30360</v>
      </c>
      <c r="J14" s="633" t="s">
        <v>123</v>
      </c>
      <c r="K14" s="633">
        <v>40995</v>
      </c>
      <c r="L14" s="518">
        <v>0</v>
      </c>
      <c r="M14" s="299">
        <v>0</v>
      </c>
      <c r="N14" s="300">
        <v>0</v>
      </c>
      <c r="O14" s="296" t="s">
        <v>85</v>
      </c>
      <c r="P14" s="297"/>
      <c r="Q14" s="298">
        <v>0</v>
      </c>
      <c r="R14" s="299">
        <v>0</v>
      </c>
      <c r="S14" s="300">
        <f t="shared" si="2"/>
        <v>0</v>
      </c>
      <c r="T14" s="222"/>
      <c r="U14" s="247">
        <f t="shared" si="3"/>
        <v>23842.363416599517</v>
      </c>
      <c r="V14" s="259">
        <f>-U14*N14</f>
        <v>0</v>
      </c>
      <c r="W14" s="489">
        <f>U14+V14</f>
        <v>23842.363416599517</v>
      </c>
      <c r="X14" s="494">
        <f t="shared" si="4"/>
        <v>23842</v>
      </c>
      <c r="Y14" s="222"/>
      <c r="Z14" s="578">
        <f>SUM(BA14,BI14,BS14,BZ14)</f>
        <v>54.183415868225801</v>
      </c>
      <c r="AA14" s="579">
        <f>(Z14/($Z$39/21))-1</f>
        <v>-0.12300697649768777</v>
      </c>
      <c r="AB14" s="580">
        <f>Z14*AI14</f>
        <v>6014.3591613730641</v>
      </c>
      <c r="AC14" s="581">
        <f>AB14/$AB$39</f>
        <v>4.5023699203902708E-2</v>
      </c>
      <c r="AD14" s="582">
        <f>ROUND(AC14*$AD$42,0)</f>
        <v>2206</v>
      </c>
      <c r="AE14" s="628">
        <f>-AD14*S14</f>
        <v>0</v>
      </c>
      <c r="AF14" s="489">
        <f t="shared" si="5"/>
        <v>2206</v>
      </c>
      <c r="AG14" s="494">
        <f t="shared" si="6"/>
        <v>2206</v>
      </c>
      <c r="AH14" s="69"/>
      <c r="AI14" s="228">
        <f t="shared" si="17"/>
        <v>111</v>
      </c>
      <c r="AJ14" s="85">
        <v>111</v>
      </c>
      <c r="AK14" s="85">
        <v>0</v>
      </c>
      <c r="AL14" s="86">
        <v>0</v>
      </c>
      <c r="AM14" s="87">
        <v>20</v>
      </c>
      <c r="AN14" s="88">
        <v>17</v>
      </c>
      <c r="AO14" s="89">
        <v>74</v>
      </c>
      <c r="AP14" s="69"/>
      <c r="AQ14" s="320">
        <v>107</v>
      </c>
      <c r="AR14" s="331">
        <f>AI14</f>
        <v>111</v>
      </c>
      <c r="AS14" s="311">
        <f t="shared" si="7"/>
        <v>4</v>
      </c>
      <c r="AT14" s="531">
        <f t="shared" si="8"/>
        <v>3.7383177570093455E-2</v>
      </c>
      <c r="AU14" s="69"/>
      <c r="AV14" s="320">
        <v>73</v>
      </c>
      <c r="AW14" s="331">
        <f t="shared" si="9"/>
        <v>74</v>
      </c>
      <c r="AX14" s="311">
        <f t="shared" si="10"/>
        <v>1</v>
      </c>
      <c r="AY14" s="353">
        <f t="shared" si="11"/>
        <v>1.3698630136986301E-2</v>
      </c>
      <c r="AZ14" s="410">
        <f>100*(AY14-MIN(AY$11:AY$14,AY$17:AY$18,AY$21:AY$29,AY$32:AY$37))/(MAX(AY$11:AY$14,AY$17:AY$18,AY$21:AY$29,AY$32:AY$37)-MIN(AY$11:AY$14,AY$17:AY$18,AY$21:AY$29,AY$32:AY$37))</f>
        <v>72.905756168957396</v>
      </c>
      <c r="BA14" s="509">
        <f t="shared" si="12"/>
        <v>14.581151233791481</v>
      </c>
      <c r="BB14" s="69"/>
      <c r="BC14" s="343">
        <f t="shared" si="0"/>
        <v>5</v>
      </c>
      <c r="BD14" s="88">
        <v>0</v>
      </c>
      <c r="BE14" s="149">
        <f>BL14-BF14</f>
        <v>3</v>
      </c>
      <c r="BF14" s="159">
        <v>1</v>
      </c>
      <c r="BG14" s="363">
        <f>(BC14+BE14)/SUM(BC14:BF14)</f>
        <v>0.88888888888888884</v>
      </c>
      <c r="BH14" s="410">
        <f>100*(BG14-MIN(BG$11:BG$14,BG$17:BG$18,BG$21:BG$29,BG$32:BG$37))/(MAX(BG$11:BG$14,BG$17:BG$18,BG$21:BG$29,BG$32:BG$37)-MIN(BG$11:BG$14,BG$17:BG$18,BG$21:BG$29,BG$32:BG$37))</f>
        <v>85.185185185185176</v>
      </c>
      <c r="BI14" s="509">
        <f t="shared" si="13"/>
        <v>21.296296296296294</v>
      </c>
      <c r="BJ14" s="69"/>
      <c r="BK14" s="183">
        <f>SUM(BL14:BN14)</f>
        <v>5</v>
      </c>
      <c r="BL14" s="174">
        <v>4</v>
      </c>
      <c r="BM14" s="165">
        <v>0</v>
      </c>
      <c r="BN14" s="89">
        <v>1</v>
      </c>
      <c r="BO14" s="69"/>
      <c r="BP14" s="552">
        <v>20</v>
      </c>
      <c r="BQ14" s="553">
        <v>3.26</v>
      </c>
      <c r="BR14" s="396">
        <f t="shared" si="14"/>
        <v>42.064516129032256</v>
      </c>
      <c r="BS14" s="509">
        <f t="shared" si="15"/>
        <v>14.722580645161289</v>
      </c>
      <c r="BT14" s="69"/>
      <c r="BU14" s="320">
        <v>3</v>
      </c>
      <c r="BV14" s="149">
        <v>206</v>
      </c>
      <c r="BW14" s="165">
        <v>73</v>
      </c>
      <c r="BX14" s="374">
        <f>BV14/BW14/100</f>
        <v>2.8219178082191782E-2</v>
      </c>
      <c r="BY14" s="396">
        <f>100*(BX14-MIN(BX$11:BX$14,BX$17:BX$18,BX$21:BX$29,BX$32:BX$37))/(MAX(BX$11:BX$14,BX$17:BX$18,BX$21:BX$29,BX$32:BX$37)-MIN(BX$11:BX$14,BX$17:BX$18,BX$21:BX$29,BX$32:BX$37))</f>
        <v>17.916938464883671</v>
      </c>
      <c r="BZ14" s="509">
        <f t="shared" si="16"/>
        <v>3.5833876929767343</v>
      </c>
    </row>
    <row r="15" spans="2:78" s="3" customFormat="1" ht="7.5" customHeight="1" thickBot="1" x14ac:dyDescent="0.3">
      <c r="B15" s="387"/>
      <c r="C15" s="7"/>
      <c r="D15" s="34"/>
      <c r="E15" s="34"/>
      <c r="F15" s="34"/>
      <c r="G15" s="69"/>
      <c r="H15" s="34"/>
      <c r="I15" s="34"/>
      <c r="J15" s="34"/>
      <c r="K15" s="34"/>
      <c r="L15" s="69"/>
      <c r="M15" s="69"/>
      <c r="N15" s="69"/>
      <c r="O15" s="34"/>
      <c r="P15" s="34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90"/>
      <c r="AM15" s="91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91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543"/>
      <c r="BQ15" s="541"/>
      <c r="BR15" s="69"/>
      <c r="BS15" s="69"/>
      <c r="BT15" s="69"/>
      <c r="BU15" s="69"/>
      <c r="BV15" s="69"/>
      <c r="BW15" s="69"/>
      <c r="BX15" s="69"/>
      <c r="BY15" s="69"/>
      <c r="BZ15" s="69"/>
    </row>
    <row r="16" spans="2:78" s="3" customFormat="1" ht="15" x14ac:dyDescent="0.25">
      <c r="B16" s="388">
        <v>512</v>
      </c>
      <c r="C16" s="419" t="s">
        <v>103</v>
      </c>
      <c r="D16" s="451">
        <f>X16</f>
        <v>49758</v>
      </c>
      <c r="E16" s="452">
        <f>AG16</f>
        <v>6185</v>
      </c>
      <c r="F16" s="474">
        <f>D16+E16</f>
        <v>55943</v>
      </c>
      <c r="G16" s="218"/>
      <c r="H16" s="202">
        <v>40946</v>
      </c>
      <c r="I16" s="54">
        <v>61700</v>
      </c>
      <c r="J16" s="200">
        <v>40982</v>
      </c>
      <c r="K16" s="200">
        <v>41015</v>
      </c>
      <c r="L16" s="92">
        <v>0</v>
      </c>
      <c r="M16" s="93">
        <v>0</v>
      </c>
      <c r="N16" s="142">
        <v>0</v>
      </c>
      <c r="O16" s="301" t="s">
        <v>12</v>
      </c>
      <c r="P16" s="301" t="s">
        <v>12</v>
      </c>
      <c r="Q16" s="302">
        <v>0</v>
      </c>
      <c r="R16" s="93">
        <v>0</v>
      </c>
      <c r="S16" s="142">
        <f>IF(R16="","",R16*5/100)</f>
        <v>0</v>
      </c>
      <c r="T16" s="218"/>
      <c r="U16" s="253">
        <f>SUM(U17:U18)</f>
        <v>49757.975825946814</v>
      </c>
      <c r="V16" s="260">
        <f>-U16*N16</f>
        <v>0</v>
      </c>
      <c r="W16" s="490">
        <f>U16+V16</f>
        <v>49757.975825946814</v>
      </c>
      <c r="X16" s="495">
        <f>ROUND(W16,0)</f>
        <v>49758</v>
      </c>
      <c r="Y16" s="218"/>
      <c r="Z16" s="610" t="s">
        <v>12</v>
      </c>
      <c r="AA16" s="611" t="s">
        <v>12</v>
      </c>
      <c r="AB16" s="612" t="s">
        <v>12</v>
      </c>
      <c r="AC16" s="613" t="s">
        <v>12</v>
      </c>
      <c r="AD16" s="614" t="s">
        <v>12</v>
      </c>
      <c r="AE16" s="615" t="s">
        <v>12</v>
      </c>
      <c r="AF16" s="490">
        <f>SUM(AF17:AF18)</f>
        <v>6185</v>
      </c>
      <c r="AG16" s="495">
        <f>SUM(AG17:AG18)</f>
        <v>6185</v>
      </c>
      <c r="AH16" s="239"/>
      <c r="AI16" s="229">
        <f>SUM(AI17:AI18)</f>
        <v>246</v>
      </c>
      <c r="AJ16" s="94">
        <f t="shared" ref="AJ16:AO16" si="18">SUM(AJ17:AJ18)</f>
        <v>242</v>
      </c>
      <c r="AK16" s="94">
        <f t="shared" si="18"/>
        <v>1</v>
      </c>
      <c r="AL16" s="199">
        <f t="shared" si="18"/>
        <v>4</v>
      </c>
      <c r="AM16" s="95">
        <f t="shared" si="18"/>
        <v>57</v>
      </c>
      <c r="AN16" s="96">
        <f t="shared" si="18"/>
        <v>48</v>
      </c>
      <c r="AO16" s="97">
        <f t="shared" si="18"/>
        <v>141</v>
      </c>
      <c r="AP16" s="239"/>
      <c r="AQ16" s="321">
        <f>SUM(AQ17:AQ18)</f>
        <v>245</v>
      </c>
      <c r="AR16" s="332">
        <f>SUM(AR17:AR18)</f>
        <v>246</v>
      </c>
      <c r="AS16" s="316">
        <f>SUM(AS17:AS18)</f>
        <v>1</v>
      </c>
      <c r="AT16" s="532">
        <f>AS16/AQ16</f>
        <v>4.0816326530612249E-3</v>
      </c>
      <c r="AU16" s="239"/>
      <c r="AV16" s="321">
        <f>SUM(AV17:AV18)</f>
        <v>141</v>
      </c>
      <c r="AW16" s="332">
        <f>SUM(AW17:AW18)</f>
        <v>141</v>
      </c>
      <c r="AX16" s="316">
        <f>SUM(AX17:AX18)</f>
        <v>0</v>
      </c>
      <c r="AY16" s="354">
        <f>AX16/AV16</f>
        <v>0</v>
      </c>
      <c r="AZ16" s="189" t="s">
        <v>12</v>
      </c>
      <c r="BA16" s="360" t="s">
        <v>12</v>
      </c>
      <c r="BB16" s="239"/>
      <c r="BC16" s="344">
        <f>SUM(BC17:BC18)</f>
        <v>10</v>
      </c>
      <c r="BD16" s="96">
        <f>SUM(BD17:BD18)</f>
        <v>0</v>
      </c>
      <c r="BE16" s="150">
        <f>SUM(BE17:BE18)</f>
        <v>7</v>
      </c>
      <c r="BF16" s="206">
        <f>SUM(BF17:BF18)</f>
        <v>1</v>
      </c>
      <c r="BG16" s="364">
        <f>(BC16+BE16)/SUM(BC16:BF16)</f>
        <v>0.94444444444444442</v>
      </c>
      <c r="BH16" s="189" t="s">
        <v>12</v>
      </c>
      <c r="BI16" s="360" t="s">
        <v>12</v>
      </c>
      <c r="BJ16" s="239"/>
      <c r="BK16" s="189" t="s">
        <v>12</v>
      </c>
      <c r="BL16" s="190" t="s">
        <v>12</v>
      </c>
      <c r="BM16" s="191" t="s">
        <v>12</v>
      </c>
      <c r="BN16" s="192" t="s">
        <v>12</v>
      </c>
      <c r="BO16" s="239"/>
      <c r="BP16" s="546">
        <f>SUM(BP17:BP18)</f>
        <v>34</v>
      </c>
      <c r="BQ16" s="547">
        <v>3.93</v>
      </c>
      <c r="BR16" s="189" t="s">
        <v>12</v>
      </c>
      <c r="BS16" s="360" t="s">
        <v>12</v>
      </c>
      <c r="BT16" s="239"/>
      <c r="BU16" s="321">
        <f>SUM(BU17:BU18)</f>
        <v>3</v>
      </c>
      <c r="BV16" s="382">
        <f>SUM(BV17:BV18)</f>
        <v>1528</v>
      </c>
      <c r="BW16" s="191">
        <f t="shared" ref="BW16:BW31" si="19">AV16</f>
        <v>141</v>
      </c>
      <c r="BX16" s="375">
        <f>BV16/BW16/100</f>
        <v>0.10836879432624114</v>
      </c>
      <c r="BY16" s="189" t="s">
        <v>12</v>
      </c>
      <c r="BZ16" s="360" t="s">
        <v>12</v>
      </c>
    </row>
    <row r="17" spans="2:78" s="632" customFormat="1" ht="15" x14ac:dyDescent="0.25">
      <c r="B17" s="389" t="s">
        <v>18</v>
      </c>
      <c r="C17" s="420" t="s">
        <v>2</v>
      </c>
      <c r="D17" s="426" t="s">
        <v>12</v>
      </c>
      <c r="E17" s="432" t="s">
        <v>12</v>
      </c>
      <c r="F17" s="437" t="s">
        <v>12</v>
      </c>
      <c r="G17" s="219"/>
      <c r="H17" s="519">
        <v>40939</v>
      </c>
      <c r="I17" s="55" t="s">
        <v>12</v>
      </c>
      <c r="J17" s="55" t="s">
        <v>12</v>
      </c>
      <c r="K17" s="637">
        <v>41014</v>
      </c>
      <c r="L17" s="98" t="s">
        <v>12</v>
      </c>
      <c r="M17" s="99" t="s">
        <v>12</v>
      </c>
      <c r="N17" s="99" t="s">
        <v>12</v>
      </c>
      <c r="O17" s="41" t="s">
        <v>85</v>
      </c>
      <c r="P17" s="634"/>
      <c r="Q17" s="280" t="s">
        <v>12</v>
      </c>
      <c r="R17" s="99" t="s">
        <v>12</v>
      </c>
      <c r="S17" s="405">
        <v>0</v>
      </c>
      <c r="T17" s="219"/>
      <c r="U17" s="248">
        <f>$U$5*AM17+$U$5*2*AN17+$U$5*3*AO17</f>
        <v>26520.310032232068</v>
      </c>
      <c r="V17" s="261" t="s">
        <v>12</v>
      </c>
      <c r="W17" s="261" t="s">
        <v>12</v>
      </c>
      <c r="X17" s="630" t="s">
        <v>12</v>
      </c>
      <c r="Y17" s="219"/>
      <c r="Z17" s="583">
        <f>SUM(BA17,BI17,BS17,BZ17)</f>
        <v>70.006692301774706</v>
      </c>
      <c r="AA17" s="584">
        <f>(Z17/($Z$39/21))-1</f>
        <v>0.13310280947297892</v>
      </c>
      <c r="AB17" s="585">
        <f>Z17*AI17</f>
        <v>9310.8900761360364</v>
      </c>
      <c r="AC17" s="586">
        <f>AB17/$AB$39</f>
        <v>6.9701642828534846E-2</v>
      </c>
      <c r="AD17" s="587">
        <f>ROUND(AC17*$AD$42,0)</f>
        <v>3415</v>
      </c>
      <c r="AE17" s="261">
        <f>-AD17*S17</f>
        <v>0</v>
      </c>
      <c r="AF17" s="588">
        <f t="shared" si="5"/>
        <v>3415</v>
      </c>
      <c r="AG17" s="631">
        <f t="shared" si="6"/>
        <v>3415</v>
      </c>
      <c r="AH17" s="214"/>
      <c r="AI17" s="230">
        <f>AJ17+AL17</f>
        <v>133</v>
      </c>
      <c r="AJ17" s="100">
        <v>129</v>
      </c>
      <c r="AK17" s="100">
        <v>1</v>
      </c>
      <c r="AL17" s="101">
        <v>4</v>
      </c>
      <c r="AM17" s="102">
        <v>34</v>
      </c>
      <c r="AN17" s="204">
        <v>24</v>
      </c>
      <c r="AO17" s="103">
        <v>75</v>
      </c>
      <c r="AP17" s="214"/>
      <c r="AQ17" s="322">
        <v>125</v>
      </c>
      <c r="AR17" s="333">
        <f>AI17</f>
        <v>133</v>
      </c>
      <c r="AS17" s="312">
        <f>AR17-AQ17</f>
        <v>8</v>
      </c>
      <c r="AT17" s="533">
        <f>AS17/AQ17</f>
        <v>6.4000000000000001E-2</v>
      </c>
      <c r="AU17" s="214"/>
      <c r="AV17" s="322">
        <v>67</v>
      </c>
      <c r="AW17" s="333">
        <v>75</v>
      </c>
      <c r="AX17" s="312">
        <f>AW17-AV17</f>
        <v>8</v>
      </c>
      <c r="AY17" s="355">
        <f>AX17/AV17</f>
        <v>0.11940298507462686</v>
      </c>
      <c r="AZ17" s="411">
        <f>100*(AY17-MIN(AY$11:AY$14,AY$17:AY$18,AY$21:AY$29,AY$32:AY$37))/(MAX(AY$11:AY$14,AY$17:AY$18,AY$21:AY$29,AY$32:AY$37)-MIN(AY$11:AY$14,AY$17:AY$18,AY$21:AY$29,AY$32:AY$37))</f>
        <v>89.273166720653819</v>
      </c>
      <c r="BA17" s="510">
        <f t="shared" si="12"/>
        <v>17.854633344130765</v>
      </c>
      <c r="BB17" s="214"/>
      <c r="BC17" s="345">
        <f>BK17-BD17</f>
        <v>5</v>
      </c>
      <c r="BD17" s="204">
        <v>0</v>
      </c>
      <c r="BE17" s="151">
        <f>BL17-BF17</f>
        <v>3</v>
      </c>
      <c r="BF17" s="103">
        <v>1</v>
      </c>
      <c r="BG17" s="365">
        <f>(BC17+BE17)/SUM(BC17:BF17)</f>
        <v>0.88888888888888884</v>
      </c>
      <c r="BH17" s="411">
        <f>100*(BG17-MIN(BG$11:BG$14,BG$17:BG$18,BG$21:BG$29,BG$32:BG$37))/(MAX(BG$11:BG$14,BG$17:BG$18,BG$21:BG$29,BG$32:BG$37)-MIN(BG$11:BG$14,BG$17:BG$18,BG$21:BG$29,BG$32:BG$37))</f>
        <v>85.185185185185176</v>
      </c>
      <c r="BI17" s="510">
        <f t="shared" si="13"/>
        <v>21.296296296296294</v>
      </c>
      <c r="BJ17" s="214"/>
      <c r="BK17" s="184">
        <f>SUM(BL17:BN17)</f>
        <v>5</v>
      </c>
      <c r="BL17" s="175">
        <v>4</v>
      </c>
      <c r="BM17" s="166">
        <v>0</v>
      </c>
      <c r="BN17" s="103">
        <v>1</v>
      </c>
      <c r="BO17" s="214"/>
      <c r="BP17" s="554">
        <v>14</v>
      </c>
      <c r="BQ17" s="555">
        <v>3.71</v>
      </c>
      <c r="BR17" s="397">
        <f>100*(BQ17-MIN(BQ$11:BQ$14,BQ$17:BQ$18,BQ$21:BQ$29,BQ$32:BQ$37))/(MAX(BQ$11:BQ$14,BQ$17:BQ$18,BQ$21:BQ$29,BQ$32:BQ$37)-MIN(BQ$11:BQ$14,BQ$17:BQ$18,BQ$21:BQ$29,BQ$32:BQ$37))</f>
        <v>47.87096774193548</v>
      </c>
      <c r="BS17" s="510">
        <f t="shared" si="15"/>
        <v>16.754838709677419</v>
      </c>
      <c r="BT17" s="214"/>
      <c r="BU17" s="322">
        <v>2</v>
      </c>
      <c r="BV17" s="151">
        <v>744</v>
      </c>
      <c r="BW17" s="166">
        <v>67</v>
      </c>
      <c r="BX17" s="376">
        <f>BV17/BW17/100</f>
        <v>0.11104477611940299</v>
      </c>
      <c r="BY17" s="397">
        <f>100*(BX17-MIN(BX$11:BX$14,BX$17:BX$18,BX$21:BX$29,BX$32:BX$37))/(MAX(BX$11:BX$14,BX$17:BX$18,BX$21:BX$29,BX$32:BX$37)-MIN(BX$11:BX$14,BX$17:BX$18,BX$21:BX$29,BX$32:BX$37))</f>
        <v>70.504619758351097</v>
      </c>
      <c r="BZ17" s="510">
        <f t="shared" si="16"/>
        <v>14.10092395167022</v>
      </c>
    </row>
    <row r="18" spans="2:78" s="3" customFormat="1" ht="15.75" thickBot="1" x14ac:dyDescent="0.3">
      <c r="B18" s="390" t="s">
        <v>19</v>
      </c>
      <c r="C18" s="421" t="s">
        <v>3</v>
      </c>
      <c r="D18" s="427" t="s">
        <v>12</v>
      </c>
      <c r="E18" s="433" t="s">
        <v>12</v>
      </c>
      <c r="F18" s="438" t="s">
        <v>12</v>
      </c>
      <c r="G18" s="219"/>
      <c r="H18" s="521">
        <v>40939</v>
      </c>
      <c r="I18" s="56" t="s">
        <v>12</v>
      </c>
      <c r="J18" s="56" t="s">
        <v>12</v>
      </c>
      <c r="K18" s="520">
        <v>40970</v>
      </c>
      <c r="L18" s="104" t="s">
        <v>12</v>
      </c>
      <c r="M18" s="105" t="s">
        <v>12</v>
      </c>
      <c r="N18" s="105" t="s">
        <v>12</v>
      </c>
      <c r="O18" s="43" t="s">
        <v>85</v>
      </c>
      <c r="P18" s="635"/>
      <c r="Q18" s="281" t="s">
        <v>12</v>
      </c>
      <c r="R18" s="105" t="s">
        <v>12</v>
      </c>
      <c r="S18" s="406">
        <v>0</v>
      </c>
      <c r="T18" s="219"/>
      <c r="U18" s="249">
        <f>$U$5*AM18+$U$5*2*AN18+$U$5*3*AO18</f>
        <v>23237.665793714747</v>
      </c>
      <c r="V18" s="262" t="s">
        <v>12</v>
      </c>
      <c r="W18" s="262" t="s">
        <v>12</v>
      </c>
      <c r="X18" s="504" t="s">
        <v>12</v>
      </c>
      <c r="Y18" s="219"/>
      <c r="Z18" s="589">
        <f>SUM(BA18,BI18,BS18,BZ18)</f>
        <v>66.830201389929982</v>
      </c>
      <c r="AA18" s="590">
        <f>(Z18/($Z$39/21))-1</f>
        <v>8.1689285163598191E-2</v>
      </c>
      <c r="AB18" s="591">
        <f>Z18*AI18</f>
        <v>7551.8127570620882</v>
      </c>
      <c r="AC18" s="592">
        <f>AB18/$AB$39</f>
        <v>5.6533129614516571E-2</v>
      </c>
      <c r="AD18" s="593">
        <f>ROUND(AC18*$AD$42,0)</f>
        <v>2770</v>
      </c>
      <c r="AE18" s="262">
        <f>-AD18*S18</f>
        <v>0</v>
      </c>
      <c r="AF18" s="594">
        <f t="shared" si="5"/>
        <v>2770</v>
      </c>
      <c r="AG18" s="616">
        <f t="shared" si="6"/>
        <v>2770</v>
      </c>
      <c r="AH18" s="214"/>
      <c r="AI18" s="231">
        <f>AJ18+AL18</f>
        <v>113</v>
      </c>
      <c r="AJ18" s="106">
        <v>113</v>
      </c>
      <c r="AK18" s="106">
        <v>0</v>
      </c>
      <c r="AL18" s="107">
        <v>0</v>
      </c>
      <c r="AM18" s="108">
        <v>23</v>
      </c>
      <c r="AN18" s="205">
        <v>24</v>
      </c>
      <c r="AO18" s="109">
        <v>66</v>
      </c>
      <c r="AP18" s="214"/>
      <c r="AQ18" s="323">
        <v>120</v>
      </c>
      <c r="AR18" s="334">
        <f>AI18</f>
        <v>113</v>
      </c>
      <c r="AS18" s="313">
        <f>AR18-AQ18</f>
        <v>-7</v>
      </c>
      <c r="AT18" s="534">
        <f>AS18/AQ18</f>
        <v>-5.8333333333333334E-2</v>
      </c>
      <c r="AU18" s="214"/>
      <c r="AV18" s="323">
        <v>74</v>
      </c>
      <c r="AW18" s="334">
        <f>AO18</f>
        <v>66</v>
      </c>
      <c r="AX18" s="313">
        <f>AW18-AV18</f>
        <v>-8</v>
      </c>
      <c r="AY18" s="356">
        <f>AX18/AV18</f>
        <v>-0.10810810810810811</v>
      </c>
      <c r="AZ18" s="412">
        <f>100*(AY18-MIN(AY$11:AY$14,AY$17:AY$18,AY$21:AY$29,AY$32:AY$37))/(MAX(AY$11:AY$14,AY$17:AY$18,AY$21:AY$29,AY$32:AY$37)-MIN(AY$11:AY$14,AY$17:AY$18,AY$21:AY$29,AY$32:AY$37))</f>
        <v>54.045030004963223</v>
      </c>
      <c r="BA18" s="511">
        <f t="shared" si="12"/>
        <v>10.809006000992646</v>
      </c>
      <c r="BB18" s="214"/>
      <c r="BC18" s="346">
        <f>BK18-BD18</f>
        <v>5</v>
      </c>
      <c r="BD18" s="205">
        <v>0</v>
      </c>
      <c r="BE18" s="152">
        <f>BL18-BF18</f>
        <v>4</v>
      </c>
      <c r="BF18" s="538">
        <v>0</v>
      </c>
      <c r="BG18" s="366">
        <f>(BC18+BE18)/SUM(BC18:BF18)</f>
        <v>1</v>
      </c>
      <c r="BH18" s="412">
        <f>100*(BG18-MIN(BG$11:BG$14,BG$17:BG$18,BG$21:BG$29,BG$32:BG$37))/(MAX(BG$11:BG$14,BG$17:BG$18,BG$21:BG$29,BG$32:BG$37)-MIN(BG$11:BG$14,BG$17:BG$18,BG$21:BG$29,BG$32:BG$37))</f>
        <v>100</v>
      </c>
      <c r="BI18" s="511">
        <f t="shared" si="13"/>
        <v>25</v>
      </c>
      <c r="BJ18" s="214"/>
      <c r="BK18" s="185">
        <f>SUM(BL18:BN18)</f>
        <v>5</v>
      </c>
      <c r="BL18" s="176">
        <v>4</v>
      </c>
      <c r="BM18" s="167">
        <v>0</v>
      </c>
      <c r="BN18" s="109">
        <v>1</v>
      </c>
      <c r="BO18" s="214"/>
      <c r="BP18" s="556">
        <v>20</v>
      </c>
      <c r="BQ18" s="557">
        <v>3.89</v>
      </c>
      <c r="BR18" s="398">
        <f>100*(BQ18-MIN(BQ$11:BQ$14,BQ$17:BQ$18,BQ$21:BQ$29,BQ$32:BQ$37))/(MAX(BQ$11:BQ$14,BQ$17:BQ$18,BQ$21:BQ$29,BQ$32:BQ$37)-MIN(BQ$11:BQ$14,BQ$17:BQ$18,BQ$21:BQ$29,BQ$32:BQ$37))</f>
        <v>50.193548387096776</v>
      </c>
      <c r="BS18" s="511">
        <f t="shared" si="15"/>
        <v>17.56774193548387</v>
      </c>
      <c r="BT18" s="214"/>
      <c r="BU18" s="323">
        <v>1</v>
      </c>
      <c r="BV18" s="152">
        <v>784</v>
      </c>
      <c r="BW18" s="167">
        <v>74</v>
      </c>
      <c r="BX18" s="377">
        <f>BV18/BW18/100</f>
        <v>0.10594594594594595</v>
      </c>
      <c r="BY18" s="398">
        <f>100*(BX18-MIN(BX$11:BX$14,BX$17:BX$18,BX$21:BX$29,BX$32:BX$37))/(MAX(BX$11:BX$14,BX$17:BX$18,BX$21:BX$29,BX$32:BX$37)-MIN(BX$11:BX$14,BX$17:BX$18,BX$21:BX$29,BX$32:BX$37))</f>
        <v>67.267267267267272</v>
      </c>
      <c r="BZ18" s="511">
        <f t="shared" si="16"/>
        <v>13.453453453453456</v>
      </c>
    </row>
    <row r="19" spans="2:78" s="3" customFormat="1" ht="7.5" customHeight="1" thickBot="1" x14ac:dyDescent="0.3">
      <c r="B19" s="387"/>
      <c r="C19" s="7"/>
      <c r="D19" s="34"/>
      <c r="E19" s="34"/>
      <c r="F19" s="34"/>
      <c r="G19" s="69"/>
      <c r="H19" s="34"/>
      <c r="I19" s="34"/>
      <c r="J19" s="34"/>
      <c r="K19" s="34"/>
      <c r="L19" s="69"/>
      <c r="M19" s="69"/>
      <c r="N19" s="69"/>
      <c r="O19" s="34"/>
      <c r="P19" s="34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90"/>
      <c r="AM19" s="91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91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543"/>
      <c r="BQ19" s="541"/>
      <c r="BR19" s="69"/>
      <c r="BS19" s="69"/>
      <c r="BT19" s="69"/>
      <c r="BU19" s="69"/>
      <c r="BV19" s="69"/>
      <c r="BW19" s="69"/>
      <c r="BX19" s="69"/>
      <c r="BY19" s="69"/>
      <c r="BZ19" s="69"/>
    </row>
    <row r="20" spans="2:78" s="3" customFormat="1" ht="15" x14ac:dyDescent="0.25">
      <c r="B20" s="216" t="s">
        <v>12</v>
      </c>
      <c r="C20" s="422" t="s">
        <v>4</v>
      </c>
      <c r="D20" s="428" t="s">
        <v>12</v>
      </c>
      <c r="E20" s="434" t="s">
        <v>12</v>
      </c>
      <c r="F20" s="439" t="s">
        <v>12</v>
      </c>
      <c r="G20" s="221"/>
      <c r="H20" s="44" t="s">
        <v>12</v>
      </c>
      <c r="I20" s="57" t="s">
        <v>12</v>
      </c>
      <c r="J20" s="57" t="s">
        <v>12</v>
      </c>
      <c r="K20" s="45" t="s">
        <v>12</v>
      </c>
      <c r="L20" s="110" t="s">
        <v>12</v>
      </c>
      <c r="M20" s="111" t="s">
        <v>12</v>
      </c>
      <c r="N20" s="111" t="s">
        <v>12</v>
      </c>
      <c r="O20" s="44" t="s">
        <v>12</v>
      </c>
      <c r="P20" s="282" t="s">
        <v>12</v>
      </c>
      <c r="Q20" s="283" t="s">
        <v>12</v>
      </c>
      <c r="R20" s="111" t="s">
        <v>12</v>
      </c>
      <c r="S20" s="111" t="s">
        <v>12</v>
      </c>
      <c r="T20" s="221"/>
      <c r="U20" s="232" t="s">
        <v>12</v>
      </c>
      <c r="V20" s="263" t="s">
        <v>12</v>
      </c>
      <c r="W20" s="263" t="s">
        <v>12</v>
      </c>
      <c r="X20" s="404" t="s">
        <v>12</v>
      </c>
      <c r="Y20" s="221"/>
      <c r="Z20" s="232" t="s">
        <v>12</v>
      </c>
      <c r="AA20" s="112" t="s">
        <v>12</v>
      </c>
      <c r="AB20" s="263" t="s">
        <v>12</v>
      </c>
      <c r="AC20" s="404" t="s">
        <v>12</v>
      </c>
      <c r="AD20" s="617" t="s">
        <v>12</v>
      </c>
      <c r="AE20" s="263" t="s">
        <v>12</v>
      </c>
      <c r="AF20" s="263" t="s">
        <v>12</v>
      </c>
      <c r="AG20" s="404" t="s">
        <v>12</v>
      </c>
      <c r="AH20" s="238"/>
      <c r="AI20" s="232" t="s">
        <v>12</v>
      </c>
      <c r="AJ20" s="112" t="s">
        <v>12</v>
      </c>
      <c r="AK20" s="112" t="s">
        <v>12</v>
      </c>
      <c r="AL20" s="113" t="s">
        <v>12</v>
      </c>
      <c r="AM20" s="114" t="s">
        <v>12</v>
      </c>
      <c r="AN20" s="115" t="s">
        <v>12</v>
      </c>
      <c r="AO20" s="116" t="s">
        <v>12</v>
      </c>
      <c r="AP20" s="238"/>
      <c r="AQ20" s="324" t="s">
        <v>12</v>
      </c>
      <c r="AR20" s="335" t="s">
        <v>12</v>
      </c>
      <c r="AS20" s="307" t="s">
        <v>12</v>
      </c>
      <c r="AT20" s="116" t="s">
        <v>12</v>
      </c>
      <c r="AU20" s="238"/>
      <c r="AV20" s="324" t="s">
        <v>12</v>
      </c>
      <c r="AW20" s="335" t="s">
        <v>12</v>
      </c>
      <c r="AX20" s="307" t="s">
        <v>12</v>
      </c>
      <c r="AY20" s="168" t="s">
        <v>12</v>
      </c>
      <c r="AZ20" s="186" t="s">
        <v>12</v>
      </c>
      <c r="BA20" s="113" t="s">
        <v>12</v>
      </c>
      <c r="BB20" s="238"/>
      <c r="BC20" s="347" t="s">
        <v>12</v>
      </c>
      <c r="BD20" s="115" t="s">
        <v>12</v>
      </c>
      <c r="BE20" s="153" t="s">
        <v>12</v>
      </c>
      <c r="BF20" s="116" t="s">
        <v>12</v>
      </c>
      <c r="BG20" s="186" t="s">
        <v>12</v>
      </c>
      <c r="BH20" s="186" t="s">
        <v>12</v>
      </c>
      <c r="BI20" s="113" t="s">
        <v>12</v>
      </c>
      <c r="BJ20" s="238"/>
      <c r="BK20" s="186" t="s">
        <v>12</v>
      </c>
      <c r="BL20" s="177" t="s">
        <v>12</v>
      </c>
      <c r="BM20" s="168" t="s">
        <v>12</v>
      </c>
      <c r="BN20" s="116" t="s">
        <v>12</v>
      </c>
      <c r="BO20" s="238"/>
      <c r="BP20" s="558">
        <f>SUM(BP21:BP29)</f>
        <v>95</v>
      </c>
      <c r="BQ20" s="559" t="s">
        <v>12</v>
      </c>
      <c r="BR20" s="186" t="s">
        <v>12</v>
      </c>
      <c r="BS20" s="113" t="s">
        <v>12</v>
      </c>
      <c r="BT20" s="238"/>
      <c r="BU20" s="324" t="s">
        <v>12</v>
      </c>
      <c r="BV20" s="153" t="s">
        <v>12</v>
      </c>
      <c r="BW20" s="168" t="str">
        <f t="shared" si="19"/>
        <v>---</v>
      </c>
      <c r="BX20" s="371" t="s">
        <v>12</v>
      </c>
      <c r="BY20" s="186" t="s">
        <v>12</v>
      </c>
      <c r="BZ20" s="113" t="s">
        <v>12</v>
      </c>
    </row>
    <row r="21" spans="2:78" s="3" customFormat="1" ht="15" x14ac:dyDescent="0.25">
      <c r="B21" s="384" t="s">
        <v>20</v>
      </c>
      <c r="C21" s="416" t="s">
        <v>21</v>
      </c>
      <c r="D21" s="445">
        <f>X21</f>
        <v>19178</v>
      </c>
      <c r="E21" s="446">
        <f>AG21</f>
        <v>2270</v>
      </c>
      <c r="F21" s="475">
        <f>D21+E21</f>
        <v>21448</v>
      </c>
      <c r="G21" s="218"/>
      <c r="H21" s="61">
        <v>40939</v>
      </c>
      <c r="I21" s="51">
        <v>24820</v>
      </c>
      <c r="J21" s="36">
        <v>40967</v>
      </c>
      <c r="K21" s="36">
        <v>40969</v>
      </c>
      <c r="L21" s="69">
        <v>0</v>
      </c>
      <c r="M21" s="70">
        <v>0</v>
      </c>
      <c r="N21" s="139">
        <v>0</v>
      </c>
      <c r="O21" s="61" t="s">
        <v>85</v>
      </c>
      <c r="P21" s="289"/>
      <c r="Q21" s="290">
        <v>0</v>
      </c>
      <c r="R21" s="70">
        <v>0</v>
      </c>
      <c r="S21" s="139">
        <f>IF(R21="","",R21*5/100)</f>
        <v>0</v>
      </c>
      <c r="T21" s="218"/>
      <c r="U21" s="245">
        <f>$U$5*AM21+$U$5*2*AN21+$U$5*3*AO21</f>
        <v>19177.553182917003</v>
      </c>
      <c r="V21" s="257">
        <f t="shared" ref="V21:V29" si="20">-U21*N21</f>
        <v>0</v>
      </c>
      <c r="W21" s="487">
        <f>U21+V21</f>
        <v>19177.553182917003</v>
      </c>
      <c r="X21" s="496">
        <f>ROUND(W21,0)</f>
        <v>19178</v>
      </c>
      <c r="Y21" s="218"/>
      <c r="Z21" s="568">
        <f t="shared" ref="Z21:Z29" si="21">SUM(BA21,BI21,BS21,BZ21)</f>
        <v>67.264875036365154</v>
      </c>
      <c r="AA21" s="569">
        <f t="shared" ref="AA21:AA29" si="22">(Z21/($Z$39/21))-1</f>
        <v>8.8724754399259531E-2</v>
      </c>
      <c r="AB21" s="570">
        <f t="shared" ref="AB21:AB29" si="23">Z21*AI21</f>
        <v>6188.368503345594</v>
      </c>
      <c r="AC21" s="571">
        <f t="shared" ref="AC21:AC29" si="24">AB21/$AB$39</f>
        <v>4.6326339113064968E-2</v>
      </c>
      <c r="AD21" s="572">
        <f t="shared" ref="AD21:AD29" si="25">ROUND(AC21*$AD$42,0)</f>
        <v>2270</v>
      </c>
      <c r="AE21" s="487">
        <f t="shared" ref="AE21:AE29" si="26">-AD21*S21</f>
        <v>0</v>
      </c>
      <c r="AF21" s="487">
        <f t="shared" si="5"/>
        <v>2270</v>
      </c>
      <c r="AG21" s="496">
        <f t="shared" si="6"/>
        <v>2270</v>
      </c>
      <c r="AH21" s="69"/>
      <c r="AI21" s="226">
        <f>AJ21+AL21</f>
        <v>92</v>
      </c>
      <c r="AJ21" s="528">
        <v>92</v>
      </c>
      <c r="AK21" s="71">
        <v>0</v>
      </c>
      <c r="AL21" s="72">
        <v>0</v>
      </c>
      <c r="AM21" s="73">
        <v>18</v>
      </c>
      <c r="AN21" s="74">
        <v>18</v>
      </c>
      <c r="AO21" s="75">
        <v>56</v>
      </c>
      <c r="AP21" s="69"/>
      <c r="AQ21" s="318">
        <v>89</v>
      </c>
      <c r="AR21" s="329">
        <f t="shared" ref="AR21:AR29" si="27">AI21</f>
        <v>92</v>
      </c>
      <c r="AS21" s="309">
        <f>AR21-AQ21</f>
        <v>3</v>
      </c>
      <c r="AT21" s="529">
        <f>AS21/AQ21</f>
        <v>3.3707865168539325E-2</v>
      </c>
      <c r="AU21" s="69"/>
      <c r="AV21" s="318">
        <v>57</v>
      </c>
      <c r="AW21" s="329">
        <f>AO21</f>
        <v>56</v>
      </c>
      <c r="AX21" s="309">
        <f>AW21-AV21</f>
        <v>-1</v>
      </c>
      <c r="AY21" s="351">
        <f>AX21/AV21</f>
        <v>-1.7543859649122806E-2</v>
      </c>
      <c r="AZ21" s="408">
        <f t="shared" ref="AZ21:AZ29" si="28">100*(AY21-MIN(AY$11:AY$14,AY$17:AY$18,AY$21:AY$29,AY$32:AY$37))/(MAX(AY$11:AY$14,AY$17:AY$18,AY$21:AY$29,AY$32:AY$37)-MIN(AY$11:AY$14,AY$17:AY$18,AY$21:AY$29,AY$32:AY$37))</f>
        <v>68.068125237969724</v>
      </c>
      <c r="BA21" s="507">
        <f t="shared" si="12"/>
        <v>13.613625047593946</v>
      </c>
      <c r="BB21" s="69"/>
      <c r="BC21" s="342">
        <f t="shared" ref="BC21:BC29" si="29">BK21-BD21</f>
        <v>4</v>
      </c>
      <c r="BD21" s="157">
        <v>1</v>
      </c>
      <c r="BE21" s="148">
        <f t="shared" ref="BE21:BE29" si="30">BL21-BF21</f>
        <v>4</v>
      </c>
      <c r="BF21" s="75">
        <v>0</v>
      </c>
      <c r="BG21" s="362">
        <f>(BC21+BE21)/SUM(BC21:BF21)</f>
        <v>0.88888888888888884</v>
      </c>
      <c r="BH21" s="408">
        <f t="shared" ref="BH21:BH29" si="31">100*(BG21-MIN(BG$11:BG$14,BG$17:BG$18,BG$21:BG$29,BG$32:BG$37))/(MAX(BG$11:BG$14,BG$17:BG$18,BG$21:BG$29,BG$32:BG$37)-MIN(BG$11:BG$14,BG$17:BG$18,BG$21:BG$29,BG$32:BG$37))</f>
        <v>85.185185185185176</v>
      </c>
      <c r="BI21" s="507">
        <f t="shared" si="13"/>
        <v>21.296296296296294</v>
      </c>
      <c r="BJ21" s="69"/>
      <c r="BK21" s="181">
        <f t="shared" ref="BK21:BK29" si="32">SUM(BL21:BN21)</f>
        <v>5</v>
      </c>
      <c r="BL21" s="172">
        <v>4</v>
      </c>
      <c r="BM21" s="163">
        <v>0</v>
      </c>
      <c r="BN21" s="161">
        <v>1</v>
      </c>
      <c r="BO21" s="69"/>
      <c r="BP21" s="548">
        <v>12</v>
      </c>
      <c r="BQ21" s="549">
        <v>4.17</v>
      </c>
      <c r="BR21" s="394">
        <f>100*(BQ21-MIN(BQ$11:BQ$14,BQ$17:BQ$18,BQ$21:BQ$29,BQ$32:BQ$37))/(MAX(BQ$11:BQ$14,BQ$17:BQ$18,BQ$21:BQ$29,BQ$32:BQ$37)-MIN(BQ$11:BQ$14,BQ$17:BQ$18,BQ$21:BQ$29,BQ$32:BQ$37))</f>
        <v>53.806451612903224</v>
      </c>
      <c r="BS21" s="507">
        <f t="shared" si="15"/>
        <v>18.832258064516129</v>
      </c>
      <c r="BT21" s="69"/>
      <c r="BU21" s="318">
        <v>2</v>
      </c>
      <c r="BV21" s="381">
        <v>607</v>
      </c>
      <c r="BW21" s="163">
        <v>57</v>
      </c>
      <c r="BX21" s="372">
        <f>BV21/BW21/100</f>
        <v>0.10649122807017544</v>
      </c>
      <c r="BY21" s="394">
        <f t="shared" ref="BY21:BY29" si="33">100*(BX21-MIN(BX$11:BX$14,BX$17:BX$18,BX$21:BX$29,BX$32:BX$37))/(MAX(BX$11:BX$14,BX$17:BX$18,BX$21:BX$29,BX$32:BX$37)-MIN(BX$11:BX$14,BX$17:BX$18,BX$21:BX$29,BX$32:BX$37))</f>
        <v>67.613478139793926</v>
      </c>
      <c r="BZ21" s="507">
        <f t="shared" si="16"/>
        <v>13.522695627958786</v>
      </c>
    </row>
    <row r="22" spans="2:78" s="3" customFormat="1" ht="15" x14ac:dyDescent="0.25">
      <c r="B22" s="385" t="s">
        <v>22</v>
      </c>
      <c r="C22" s="417" t="s">
        <v>23</v>
      </c>
      <c r="D22" s="453">
        <f>X22</f>
        <v>22115</v>
      </c>
      <c r="E22" s="454">
        <f>AG22</f>
        <v>2448</v>
      </c>
      <c r="F22" s="476">
        <f>D22+E22</f>
        <v>24563</v>
      </c>
      <c r="G22" s="218"/>
      <c r="H22" s="47">
        <v>40939</v>
      </c>
      <c r="I22" s="52">
        <v>27160</v>
      </c>
      <c r="J22" s="49">
        <v>40968</v>
      </c>
      <c r="K22" s="49">
        <v>41014</v>
      </c>
      <c r="L22" s="76">
        <v>0</v>
      </c>
      <c r="M22" s="77">
        <v>0</v>
      </c>
      <c r="N22" s="140">
        <v>0</v>
      </c>
      <c r="O22" s="47" t="s">
        <v>85</v>
      </c>
      <c r="P22" s="292"/>
      <c r="Q22" s="227">
        <v>0</v>
      </c>
      <c r="R22" s="77">
        <v>0</v>
      </c>
      <c r="S22" s="140">
        <f t="shared" ref="S22:S29" si="34">IF(R22="","",R22*5/100)</f>
        <v>0</v>
      </c>
      <c r="T22" s="218"/>
      <c r="U22" s="246">
        <f t="shared" ref="U22:U29" si="35">$U$5*AM22+$U$5*2*AN22+$U$5*3*AO22</f>
        <v>22114.655922643029</v>
      </c>
      <c r="V22" s="258">
        <f t="shared" si="20"/>
        <v>0</v>
      </c>
      <c r="W22" s="488">
        <f t="shared" ref="W22:W29" si="36">U22+V22</f>
        <v>22114.655922643029</v>
      </c>
      <c r="X22" s="497">
        <f t="shared" ref="X22:X29" si="37">ROUND(W22,0)</f>
        <v>22115</v>
      </c>
      <c r="Y22" s="218"/>
      <c r="Z22" s="573">
        <f t="shared" si="21"/>
        <v>62.946723041392517</v>
      </c>
      <c r="AA22" s="574">
        <f t="shared" si="22"/>
        <v>1.8832719847145629E-2</v>
      </c>
      <c r="AB22" s="575">
        <f t="shared" si="23"/>
        <v>6672.3526423876065</v>
      </c>
      <c r="AC22" s="576">
        <f t="shared" si="24"/>
        <v>4.9949460997045142E-2</v>
      </c>
      <c r="AD22" s="577">
        <f t="shared" si="25"/>
        <v>2448</v>
      </c>
      <c r="AE22" s="627">
        <f t="shared" si="26"/>
        <v>0</v>
      </c>
      <c r="AF22" s="488">
        <f t="shared" si="5"/>
        <v>2448</v>
      </c>
      <c r="AG22" s="497">
        <f t="shared" si="6"/>
        <v>2448</v>
      </c>
      <c r="AH22" s="69"/>
      <c r="AI22" s="227">
        <f t="shared" ref="AI22:AI29" si="38">AJ22+AL22</f>
        <v>106</v>
      </c>
      <c r="AJ22" s="78">
        <v>106</v>
      </c>
      <c r="AK22" s="78">
        <v>0</v>
      </c>
      <c r="AL22" s="79">
        <v>0</v>
      </c>
      <c r="AM22" s="80">
        <v>26</v>
      </c>
      <c r="AN22" s="81">
        <v>10</v>
      </c>
      <c r="AO22" s="82">
        <v>70</v>
      </c>
      <c r="AP22" s="69"/>
      <c r="AQ22" s="319">
        <v>122</v>
      </c>
      <c r="AR22" s="330">
        <f t="shared" si="27"/>
        <v>106</v>
      </c>
      <c r="AS22" s="310">
        <f t="shared" ref="AS22:AS29" si="39">AR22-AQ22</f>
        <v>-16</v>
      </c>
      <c r="AT22" s="530">
        <f t="shared" ref="AT22:AT28" si="40">AS22/AQ22</f>
        <v>-0.13114754098360656</v>
      </c>
      <c r="AU22" s="69"/>
      <c r="AV22" s="319">
        <v>85</v>
      </c>
      <c r="AW22" s="330">
        <f>AO22</f>
        <v>70</v>
      </c>
      <c r="AX22" s="310">
        <f t="shared" ref="AX22:AX29" si="41">AW22-AV22</f>
        <v>-15</v>
      </c>
      <c r="AY22" s="352">
        <f t="shared" ref="AY22:AY28" si="42">AX22/AV22</f>
        <v>-0.17647058823529413</v>
      </c>
      <c r="AZ22" s="409">
        <f t="shared" si="28"/>
        <v>43.459687714818813</v>
      </c>
      <c r="BA22" s="508">
        <f t="shared" si="12"/>
        <v>8.6919375429637622</v>
      </c>
      <c r="BB22" s="69"/>
      <c r="BC22" s="342">
        <f t="shared" si="29"/>
        <v>5</v>
      </c>
      <c r="BD22" s="81">
        <v>0</v>
      </c>
      <c r="BE22" s="148">
        <f>BL22-BF22</f>
        <v>3</v>
      </c>
      <c r="BF22" s="158">
        <v>1</v>
      </c>
      <c r="BG22" s="362">
        <f t="shared" ref="BG22:BG37" si="43">(BC22+BE22)/SUM(BC22:BF22)</f>
        <v>0.88888888888888884</v>
      </c>
      <c r="BH22" s="409">
        <f t="shared" si="31"/>
        <v>85.185185185185176</v>
      </c>
      <c r="BI22" s="508">
        <f t="shared" si="13"/>
        <v>21.296296296296294</v>
      </c>
      <c r="BJ22" s="69"/>
      <c r="BK22" s="182">
        <f t="shared" si="32"/>
        <v>5</v>
      </c>
      <c r="BL22" s="173">
        <v>4</v>
      </c>
      <c r="BM22" s="164">
        <v>1</v>
      </c>
      <c r="BN22" s="82">
        <v>0</v>
      </c>
      <c r="BO22" s="69"/>
      <c r="BP22" s="550">
        <v>26</v>
      </c>
      <c r="BQ22" s="551">
        <v>4.42</v>
      </c>
      <c r="BR22" s="395">
        <f t="shared" ref="BR22:BR29" si="44">100*(BQ22-MIN(BQ$11:BQ$14,BQ$17:BQ$18,BQ$21:BQ$29,BQ$32:BQ$37))/(MAX(BQ$11:BQ$14,BQ$17:BQ$18,BQ$21:BQ$29,BQ$32:BQ$37)-MIN(BQ$11:BQ$14,BQ$17:BQ$18,BQ$21:BQ$29,BQ$32:BQ$37))</f>
        <v>57.032258064516128</v>
      </c>
      <c r="BS22" s="508">
        <f t="shared" si="15"/>
        <v>19.961290322580645</v>
      </c>
      <c r="BT22" s="69"/>
      <c r="BU22" s="319">
        <v>4</v>
      </c>
      <c r="BV22" s="148">
        <v>870</v>
      </c>
      <c r="BW22" s="164">
        <v>85</v>
      </c>
      <c r="BX22" s="373">
        <f t="shared" ref="BX22:BX28" si="45">BV22/BW22/100</f>
        <v>0.10235294117647058</v>
      </c>
      <c r="BY22" s="395">
        <f t="shared" si="33"/>
        <v>64.9859943977591</v>
      </c>
      <c r="BZ22" s="508">
        <f t="shared" si="16"/>
        <v>12.997198879551821</v>
      </c>
    </row>
    <row r="23" spans="2:78" s="3" customFormat="1" ht="15" x14ac:dyDescent="0.25">
      <c r="B23" s="385" t="s">
        <v>24</v>
      </c>
      <c r="C23" s="417" t="s">
        <v>25</v>
      </c>
      <c r="D23" s="453">
        <f t="shared" ref="D23:D28" si="46">X23</f>
        <v>26088</v>
      </c>
      <c r="E23" s="454">
        <f t="shared" ref="E23:E28" si="47">AG23</f>
        <v>3841</v>
      </c>
      <c r="F23" s="476">
        <f t="shared" ref="F23:F28" si="48">D23+E23</f>
        <v>29929</v>
      </c>
      <c r="G23" s="222"/>
      <c r="H23" s="291">
        <v>40936</v>
      </c>
      <c r="I23" s="52">
        <v>34270</v>
      </c>
      <c r="J23" s="49">
        <v>40963</v>
      </c>
      <c r="K23" s="49">
        <v>41014</v>
      </c>
      <c r="L23" s="517">
        <v>0</v>
      </c>
      <c r="M23" s="294">
        <v>0</v>
      </c>
      <c r="N23" s="295">
        <v>0</v>
      </c>
      <c r="O23" s="291" t="s">
        <v>85</v>
      </c>
      <c r="P23" s="292"/>
      <c r="Q23" s="293">
        <v>0</v>
      </c>
      <c r="R23" s="294">
        <v>0</v>
      </c>
      <c r="S23" s="295">
        <f t="shared" si="34"/>
        <v>0</v>
      </c>
      <c r="T23" s="222"/>
      <c r="U23" s="246">
        <f t="shared" si="35"/>
        <v>26088.383158742949</v>
      </c>
      <c r="V23" s="264">
        <f t="shared" si="20"/>
        <v>0</v>
      </c>
      <c r="W23" s="488">
        <f t="shared" si="36"/>
        <v>26088.383158742949</v>
      </c>
      <c r="X23" s="497">
        <f t="shared" si="37"/>
        <v>26088</v>
      </c>
      <c r="Y23" s="222"/>
      <c r="Z23" s="573">
        <f t="shared" si="21"/>
        <v>82.455812084828182</v>
      </c>
      <c r="AA23" s="574">
        <f t="shared" si="22"/>
        <v>0.33459972552261696</v>
      </c>
      <c r="AB23" s="575">
        <f t="shared" si="23"/>
        <v>10471.888134773179</v>
      </c>
      <c r="AC23" s="576">
        <f t="shared" si="24"/>
        <v>7.8392914161998076E-2</v>
      </c>
      <c r="AD23" s="577">
        <f t="shared" si="25"/>
        <v>3841</v>
      </c>
      <c r="AE23" s="488">
        <f t="shared" si="26"/>
        <v>0</v>
      </c>
      <c r="AF23" s="488">
        <f t="shared" si="5"/>
        <v>3841</v>
      </c>
      <c r="AG23" s="497">
        <f t="shared" si="6"/>
        <v>3841</v>
      </c>
      <c r="AH23" s="69"/>
      <c r="AI23" s="227">
        <f t="shared" si="38"/>
        <v>127</v>
      </c>
      <c r="AJ23" s="78">
        <v>127</v>
      </c>
      <c r="AK23" s="78">
        <v>0</v>
      </c>
      <c r="AL23" s="79">
        <v>0</v>
      </c>
      <c r="AM23" s="80">
        <v>30</v>
      </c>
      <c r="AN23" s="81">
        <v>19</v>
      </c>
      <c r="AO23" s="82">
        <v>78</v>
      </c>
      <c r="AP23" s="69"/>
      <c r="AQ23" s="319">
        <v>126</v>
      </c>
      <c r="AR23" s="330">
        <f t="shared" si="27"/>
        <v>127</v>
      </c>
      <c r="AS23" s="310">
        <f t="shared" si="39"/>
        <v>1</v>
      </c>
      <c r="AT23" s="530">
        <f t="shared" si="40"/>
        <v>7.9365079365079361E-3</v>
      </c>
      <c r="AU23" s="69"/>
      <c r="AV23" s="319">
        <v>70</v>
      </c>
      <c r="AW23" s="330">
        <f t="shared" ref="AW23:AW29" si="49">AO23</f>
        <v>78</v>
      </c>
      <c r="AX23" s="310">
        <f t="shared" si="41"/>
        <v>8</v>
      </c>
      <c r="AY23" s="352">
        <f t="shared" si="42"/>
        <v>0.11428571428571428</v>
      </c>
      <c r="AZ23" s="409">
        <f t="shared" si="28"/>
        <v>88.480801335559264</v>
      </c>
      <c r="BA23" s="508">
        <f t="shared" si="12"/>
        <v>17.696160267111853</v>
      </c>
      <c r="BB23" s="69"/>
      <c r="BC23" s="342">
        <f t="shared" si="29"/>
        <v>5</v>
      </c>
      <c r="BD23" s="81">
        <v>0</v>
      </c>
      <c r="BE23" s="148">
        <f t="shared" si="30"/>
        <v>4</v>
      </c>
      <c r="BF23" s="82">
        <v>0</v>
      </c>
      <c r="BG23" s="362">
        <f t="shared" si="43"/>
        <v>1</v>
      </c>
      <c r="BH23" s="409">
        <f t="shared" si="31"/>
        <v>100</v>
      </c>
      <c r="BI23" s="508">
        <f t="shared" si="13"/>
        <v>25</v>
      </c>
      <c r="BJ23" s="69"/>
      <c r="BK23" s="182">
        <f>SUM(BL23:BN23)</f>
        <v>5</v>
      </c>
      <c r="BL23" s="173">
        <v>4</v>
      </c>
      <c r="BM23" s="164">
        <v>0</v>
      </c>
      <c r="BN23" s="82">
        <v>1</v>
      </c>
      <c r="BO23" s="69"/>
      <c r="BP23" s="550">
        <v>15</v>
      </c>
      <c r="BQ23" s="551">
        <v>4.53</v>
      </c>
      <c r="BR23" s="395">
        <f t="shared" si="44"/>
        <v>58.451612903225808</v>
      </c>
      <c r="BS23" s="508">
        <f t="shared" si="15"/>
        <v>20.458064516129031</v>
      </c>
      <c r="BT23" s="69"/>
      <c r="BU23" s="319">
        <v>2</v>
      </c>
      <c r="BV23" s="148">
        <v>1064</v>
      </c>
      <c r="BW23" s="164">
        <v>70</v>
      </c>
      <c r="BX23" s="373">
        <f t="shared" si="45"/>
        <v>0.152</v>
      </c>
      <c r="BY23" s="395">
        <f t="shared" si="33"/>
        <v>96.507936507936506</v>
      </c>
      <c r="BZ23" s="508">
        <f t="shared" si="16"/>
        <v>19.301587301587304</v>
      </c>
    </row>
    <row r="24" spans="2:78" s="3" customFormat="1" ht="15" x14ac:dyDescent="0.25">
      <c r="B24" s="385" t="s">
        <v>26</v>
      </c>
      <c r="C24" s="417" t="s">
        <v>27</v>
      </c>
      <c r="D24" s="453">
        <f t="shared" si="46"/>
        <v>15463</v>
      </c>
      <c r="E24" s="454">
        <f t="shared" si="47"/>
        <v>2345</v>
      </c>
      <c r="F24" s="476">
        <f t="shared" si="48"/>
        <v>17808</v>
      </c>
      <c r="G24" s="218"/>
      <c r="H24" s="47">
        <v>40939</v>
      </c>
      <c r="I24" s="52">
        <v>22020</v>
      </c>
      <c r="J24" s="49">
        <v>40962</v>
      </c>
      <c r="K24" s="516">
        <v>41014</v>
      </c>
      <c r="L24" s="76">
        <v>0</v>
      </c>
      <c r="M24" s="77">
        <v>0</v>
      </c>
      <c r="N24" s="140">
        <v>0</v>
      </c>
      <c r="O24" s="47" t="s">
        <v>85</v>
      </c>
      <c r="P24" s="292"/>
      <c r="Q24" s="227">
        <v>0</v>
      </c>
      <c r="R24" s="77">
        <v>0</v>
      </c>
      <c r="S24" s="140">
        <f t="shared" si="34"/>
        <v>0</v>
      </c>
      <c r="T24" s="218"/>
      <c r="U24" s="246">
        <f t="shared" si="35"/>
        <v>15462.982070910557</v>
      </c>
      <c r="V24" s="264">
        <f t="shared" si="20"/>
        <v>0</v>
      </c>
      <c r="W24" s="488">
        <f t="shared" si="36"/>
        <v>15462.982070910557</v>
      </c>
      <c r="X24" s="497">
        <f t="shared" si="37"/>
        <v>15463</v>
      </c>
      <c r="Y24" s="218"/>
      <c r="Z24" s="573">
        <f t="shared" si="21"/>
        <v>78.917986868548212</v>
      </c>
      <c r="AA24" s="574">
        <f t="shared" si="22"/>
        <v>0.27733777584056418</v>
      </c>
      <c r="AB24" s="575">
        <f t="shared" si="23"/>
        <v>6392.3569363524048</v>
      </c>
      <c r="AC24" s="576">
        <f t="shared" si="24"/>
        <v>4.7853403527135865E-2</v>
      </c>
      <c r="AD24" s="577">
        <f t="shared" si="25"/>
        <v>2345</v>
      </c>
      <c r="AE24" s="488">
        <f t="shared" si="26"/>
        <v>0</v>
      </c>
      <c r="AF24" s="488">
        <f t="shared" si="5"/>
        <v>2345</v>
      </c>
      <c r="AG24" s="497">
        <f t="shared" si="6"/>
        <v>2345</v>
      </c>
      <c r="AH24" s="69"/>
      <c r="AI24" s="227">
        <f t="shared" si="38"/>
        <v>81</v>
      </c>
      <c r="AJ24" s="78">
        <v>81</v>
      </c>
      <c r="AK24" s="78">
        <v>0</v>
      </c>
      <c r="AL24" s="79">
        <v>0</v>
      </c>
      <c r="AM24" s="80">
        <v>25</v>
      </c>
      <c r="AN24" s="81">
        <v>14</v>
      </c>
      <c r="AO24" s="82">
        <v>42</v>
      </c>
      <c r="AP24" s="69"/>
      <c r="AQ24" s="319">
        <v>77</v>
      </c>
      <c r="AR24" s="330">
        <f t="shared" si="27"/>
        <v>81</v>
      </c>
      <c r="AS24" s="310">
        <f t="shared" si="39"/>
        <v>4</v>
      </c>
      <c r="AT24" s="530">
        <f t="shared" si="40"/>
        <v>5.1948051948051951E-2</v>
      </c>
      <c r="AU24" s="69"/>
      <c r="AV24" s="319">
        <v>38</v>
      </c>
      <c r="AW24" s="330">
        <f t="shared" si="49"/>
        <v>42</v>
      </c>
      <c r="AX24" s="310">
        <f t="shared" si="41"/>
        <v>4</v>
      </c>
      <c r="AY24" s="352">
        <f t="shared" si="42"/>
        <v>0.10526315789473684</v>
      </c>
      <c r="AZ24" s="409">
        <f t="shared" si="28"/>
        <v>87.083736051313593</v>
      </c>
      <c r="BA24" s="508">
        <f t="shared" si="12"/>
        <v>17.41674721026272</v>
      </c>
      <c r="BB24" s="69"/>
      <c r="BC24" s="342">
        <f t="shared" si="29"/>
        <v>4</v>
      </c>
      <c r="BD24" s="639">
        <v>1</v>
      </c>
      <c r="BE24" s="148">
        <f t="shared" si="30"/>
        <v>3</v>
      </c>
      <c r="BF24" s="294">
        <v>0</v>
      </c>
      <c r="BG24" s="362">
        <f t="shared" si="43"/>
        <v>0.875</v>
      </c>
      <c r="BH24" s="409">
        <f t="shared" si="31"/>
        <v>83.333333333333329</v>
      </c>
      <c r="BI24" s="508">
        <f t="shared" si="13"/>
        <v>20.833333333333332</v>
      </c>
      <c r="BJ24" s="69"/>
      <c r="BK24" s="182">
        <f t="shared" si="32"/>
        <v>5</v>
      </c>
      <c r="BL24" s="173">
        <v>3</v>
      </c>
      <c r="BM24" s="164">
        <v>1</v>
      </c>
      <c r="BN24" s="82">
        <v>1</v>
      </c>
      <c r="BO24" s="69"/>
      <c r="BP24" s="550">
        <v>5</v>
      </c>
      <c r="BQ24" s="551">
        <v>6.8</v>
      </c>
      <c r="BR24" s="395">
        <f t="shared" si="44"/>
        <v>87.741935483870961</v>
      </c>
      <c r="BS24" s="508">
        <f t="shared" si="15"/>
        <v>30.709677419354833</v>
      </c>
      <c r="BT24" s="69"/>
      <c r="BU24" s="319">
        <v>1</v>
      </c>
      <c r="BV24" s="148">
        <v>298</v>
      </c>
      <c r="BW24" s="164">
        <v>38</v>
      </c>
      <c r="BX24" s="373">
        <f t="shared" si="45"/>
        <v>7.8421052631578947E-2</v>
      </c>
      <c r="BY24" s="395">
        <f t="shared" si="33"/>
        <v>49.791144527986631</v>
      </c>
      <c r="BZ24" s="508">
        <f t="shared" si="16"/>
        <v>9.958228905597327</v>
      </c>
    </row>
    <row r="25" spans="2:78" s="3" customFormat="1" ht="15" x14ac:dyDescent="0.25">
      <c r="B25" s="385" t="s">
        <v>28</v>
      </c>
      <c r="C25" s="417" t="s">
        <v>29</v>
      </c>
      <c r="D25" s="453">
        <f t="shared" si="46"/>
        <v>22806</v>
      </c>
      <c r="E25" s="454">
        <f t="shared" si="47"/>
        <v>2612</v>
      </c>
      <c r="F25" s="476">
        <f t="shared" si="48"/>
        <v>25418</v>
      </c>
      <c r="G25" s="218"/>
      <c r="H25" s="47">
        <v>40939</v>
      </c>
      <c r="I25" s="52">
        <v>26770</v>
      </c>
      <c r="J25" s="49">
        <v>40961</v>
      </c>
      <c r="K25" s="49">
        <v>41011</v>
      </c>
      <c r="L25" s="76">
        <v>0</v>
      </c>
      <c r="M25" s="77">
        <v>0</v>
      </c>
      <c r="N25" s="140">
        <v>0</v>
      </c>
      <c r="O25" s="47" t="s">
        <v>85</v>
      </c>
      <c r="P25" s="525"/>
      <c r="Q25" s="293">
        <v>0</v>
      </c>
      <c r="R25" s="294">
        <v>0</v>
      </c>
      <c r="S25" s="295">
        <f t="shared" si="34"/>
        <v>0</v>
      </c>
      <c r="T25" s="218"/>
      <c r="U25" s="246">
        <f t="shared" si="35"/>
        <v>22805.738920225624</v>
      </c>
      <c r="V25" s="264">
        <f t="shared" si="20"/>
        <v>0</v>
      </c>
      <c r="W25" s="488">
        <f t="shared" si="36"/>
        <v>22805.738920225624</v>
      </c>
      <c r="X25" s="497">
        <f t="shared" si="37"/>
        <v>22806</v>
      </c>
      <c r="Y25" s="218"/>
      <c r="Z25" s="573">
        <f t="shared" si="21"/>
        <v>69.813012273186146</v>
      </c>
      <c r="AA25" s="574">
        <f t="shared" si="22"/>
        <v>0.12996797511190827</v>
      </c>
      <c r="AB25" s="575">
        <f t="shared" si="23"/>
        <v>7120.9272518649868</v>
      </c>
      <c r="AC25" s="576">
        <f t="shared" si="24"/>
        <v>5.3307505926807351E-2</v>
      </c>
      <c r="AD25" s="577">
        <f t="shared" si="25"/>
        <v>2612</v>
      </c>
      <c r="AE25" s="488">
        <f t="shared" si="26"/>
        <v>0</v>
      </c>
      <c r="AF25" s="488">
        <f t="shared" si="5"/>
        <v>2612</v>
      </c>
      <c r="AG25" s="497">
        <f t="shared" si="6"/>
        <v>2612</v>
      </c>
      <c r="AH25" s="69"/>
      <c r="AI25" s="227">
        <f t="shared" si="38"/>
        <v>102</v>
      </c>
      <c r="AJ25" s="78">
        <v>102</v>
      </c>
      <c r="AK25" s="78">
        <v>0</v>
      </c>
      <c r="AL25" s="79">
        <v>0</v>
      </c>
      <c r="AM25" s="80">
        <v>9</v>
      </c>
      <c r="AN25" s="81">
        <v>24</v>
      </c>
      <c r="AO25" s="82">
        <v>69</v>
      </c>
      <c r="AP25" s="69"/>
      <c r="AQ25" s="319">
        <v>96</v>
      </c>
      <c r="AR25" s="330">
        <f t="shared" si="27"/>
        <v>102</v>
      </c>
      <c r="AS25" s="310">
        <f t="shared" si="39"/>
        <v>6</v>
      </c>
      <c r="AT25" s="530">
        <f t="shared" si="40"/>
        <v>6.25E-2</v>
      </c>
      <c r="AU25" s="69"/>
      <c r="AV25" s="319">
        <v>64</v>
      </c>
      <c r="AW25" s="330">
        <f t="shared" si="49"/>
        <v>69</v>
      </c>
      <c r="AX25" s="310">
        <f t="shared" si="41"/>
        <v>5</v>
      </c>
      <c r="AY25" s="352">
        <f t="shared" si="42"/>
        <v>7.8125E-2</v>
      </c>
      <c r="AZ25" s="409">
        <f t="shared" si="28"/>
        <v>82.881625626043402</v>
      </c>
      <c r="BA25" s="508">
        <f t="shared" si="12"/>
        <v>16.57632512520868</v>
      </c>
      <c r="BB25" s="69"/>
      <c r="BC25" s="342">
        <f t="shared" si="29"/>
        <v>3</v>
      </c>
      <c r="BD25" s="81">
        <v>0</v>
      </c>
      <c r="BE25" s="148">
        <f t="shared" si="30"/>
        <v>3</v>
      </c>
      <c r="BF25" s="82">
        <v>0</v>
      </c>
      <c r="BG25" s="362">
        <f t="shared" si="43"/>
        <v>1</v>
      </c>
      <c r="BH25" s="409">
        <f t="shared" si="31"/>
        <v>100</v>
      </c>
      <c r="BI25" s="508">
        <f t="shared" si="13"/>
        <v>25</v>
      </c>
      <c r="BJ25" s="69"/>
      <c r="BK25" s="182">
        <f t="shared" si="32"/>
        <v>3</v>
      </c>
      <c r="BL25" s="173">
        <v>3</v>
      </c>
      <c r="BM25" s="164">
        <v>0</v>
      </c>
      <c r="BN25" s="82">
        <v>0</v>
      </c>
      <c r="BO25" s="69"/>
      <c r="BP25" s="550">
        <v>8</v>
      </c>
      <c r="BQ25" s="551">
        <v>2.25</v>
      </c>
      <c r="BR25" s="395">
        <f t="shared" si="44"/>
        <v>29.032258064516128</v>
      </c>
      <c r="BS25" s="508">
        <f t="shared" si="15"/>
        <v>10.161290322580644</v>
      </c>
      <c r="BT25" s="69"/>
      <c r="BU25" s="319">
        <v>3</v>
      </c>
      <c r="BV25" s="148">
        <v>911</v>
      </c>
      <c r="BW25" s="164">
        <v>64</v>
      </c>
      <c r="BX25" s="373">
        <f t="shared" si="45"/>
        <v>0.14234374999999999</v>
      </c>
      <c r="BY25" s="395">
        <f t="shared" si="33"/>
        <v>90.376984126984127</v>
      </c>
      <c r="BZ25" s="508">
        <f t="shared" si="16"/>
        <v>18.075396825396826</v>
      </c>
    </row>
    <row r="26" spans="2:78" s="3" customFormat="1" ht="15" x14ac:dyDescent="0.25">
      <c r="B26" s="385" t="s">
        <v>30</v>
      </c>
      <c r="C26" s="417" t="s">
        <v>31</v>
      </c>
      <c r="D26" s="453">
        <f t="shared" si="46"/>
        <v>15204</v>
      </c>
      <c r="E26" s="454">
        <f t="shared" si="47"/>
        <v>1515</v>
      </c>
      <c r="F26" s="476">
        <f t="shared" si="48"/>
        <v>16719</v>
      </c>
      <c r="G26" s="218"/>
      <c r="H26" s="47">
        <v>40939</v>
      </c>
      <c r="I26" s="52">
        <v>17160</v>
      </c>
      <c r="J26" s="49">
        <v>40949</v>
      </c>
      <c r="K26" s="49">
        <v>41009</v>
      </c>
      <c r="L26" s="76">
        <v>0</v>
      </c>
      <c r="M26" s="77">
        <v>0</v>
      </c>
      <c r="N26" s="140">
        <v>0</v>
      </c>
      <c r="O26" s="47" t="s">
        <v>85</v>
      </c>
      <c r="P26" s="292"/>
      <c r="Q26" s="227">
        <v>0</v>
      </c>
      <c r="R26" s="77">
        <v>0</v>
      </c>
      <c r="S26" s="140">
        <f t="shared" si="34"/>
        <v>0</v>
      </c>
      <c r="T26" s="218"/>
      <c r="U26" s="246">
        <f t="shared" si="35"/>
        <v>15203.825946817084</v>
      </c>
      <c r="V26" s="264">
        <f t="shared" si="20"/>
        <v>0</v>
      </c>
      <c r="W26" s="488">
        <f t="shared" si="36"/>
        <v>15203.825946817084</v>
      </c>
      <c r="X26" s="497">
        <f t="shared" si="37"/>
        <v>15204</v>
      </c>
      <c r="Y26" s="218"/>
      <c r="Z26" s="573">
        <f t="shared" si="21"/>
        <v>62.587404290620746</v>
      </c>
      <c r="AA26" s="574">
        <f t="shared" si="22"/>
        <v>1.3016917491554425E-2</v>
      </c>
      <c r="AB26" s="575">
        <f t="shared" si="23"/>
        <v>4130.7686831809697</v>
      </c>
      <c r="AC26" s="576">
        <f t="shared" si="24"/>
        <v>3.0923076205176595E-2</v>
      </c>
      <c r="AD26" s="577">
        <f t="shared" si="25"/>
        <v>1515</v>
      </c>
      <c r="AE26" s="488">
        <f t="shared" si="26"/>
        <v>0</v>
      </c>
      <c r="AF26" s="488">
        <f t="shared" si="5"/>
        <v>1515</v>
      </c>
      <c r="AG26" s="497">
        <f t="shared" si="6"/>
        <v>1515</v>
      </c>
      <c r="AH26" s="69"/>
      <c r="AI26" s="227">
        <f t="shared" si="38"/>
        <v>66</v>
      </c>
      <c r="AJ26" s="78">
        <v>66</v>
      </c>
      <c r="AK26" s="78">
        <v>0</v>
      </c>
      <c r="AL26" s="79">
        <v>0</v>
      </c>
      <c r="AM26" s="80">
        <v>8</v>
      </c>
      <c r="AN26" s="81">
        <v>6</v>
      </c>
      <c r="AO26" s="82">
        <v>52</v>
      </c>
      <c r="AP26" s="69"/>
      <c r="AQ26" s="319">
        <v>69</v>
      </c>
      <c r="AR26" s="330">
        <f t="shared" si="27"/>
        <v>66</v>
      </c>
      <c r="AS26" s="310">
        <f t="shared" si="39"/>
        <v>-3</v>
      </c>
      <c r="AT26" s="530">
        <f t="shared" si="40"/>
        <v>-4.3478260869565216E-2</v>
      </c>
      <c r="AU26" s="69"/>
      <c r="AV26" s="319">
        <v>53</v>
      </c>
      <c r="AW26" s="330">
        <f t="shared" si="49"/>
        <v>52</v>
      </c>
      <c r="AX26" s="310">
        <f t="shared" si="41"/>
        <v>-1</v>
      </c>
      <c r="AY26" s="352">
        <f t="shared" si="42"/>
        <v>-1.8867924528301886E-2</v>
      </c>
      <c r="AZ26" s="409">
        <f t="shared" si="28"/>
        <v>67.863105175292148</v>
      </c>
      <c r="BA26" s="508">
        <f t="shared" si="12"/>
        <v>13.572621035058431</v>
      </c>
      <c r="BB26" s="69"/>
      <c r="BC26" s="342">
        <f t="shared" si="29"/>
        <v>4</v>
      </c>
      <c r="BD26" s="81">
        <v>0</v>
      </c>
      <c r="BE26" s="148">
        <f t="shared" si="30"/>
        <v>2</v>
      </c>
      <c r="BF26" s="158">
        <v>1</v>
      </c>
      <c r="BG26" s="362">
        <f t="shared" si="43"/>
        <v>0.8571428571428571</v>
      </c>
      <c r="BH26" s="409">
        <f t="shared" si="31"/>
        <v>80.952380952380949</v>
      </c>
      <c r="BI26" s="508">
        <f t="shared" si="13"/>
        <v>20.238095238095237</v>
      </c>
      <c r="BJ26" s="69"/>
      <c r="BK26" s="182">
        <f t="shared" si="32"/>
        <v>4</v>
      </c>
      <c r="BL26" s="173">
        <v>3</v>
      </c>
      <c r="BM26" s="164">
        <v>1</v>
      </c>
      <c r="BN26" s="82">
        <v>0</v>
      </c>
      <c r="BO26" s="69"/>
      <c r="BP26" s="550">
        <v>15</v>
      </c>
      <c r="BQ26" s="551">
        <v>3.47</v>
      </c>
      <c r="BR26" s="395">
        <f t="shared" si="44"/>
        <v>44.774193548387096</v>
      </c>
      <c r="BS26" s="508">
        <f t="shared" si="15"/>
        <v>15.670967741935483</v>
      </c>
      <c r="BT26" s="69"/>
      <c r="BU26" s="319">
        <v>1</v>
      </c>
      <c r="BV26" s="148">
        <v>547</v>
      </c>
      <c r="BW26" s="164">
        <v>53</v>
      </c>
      <c r="BX26" s="373">
        <f t="shared" si="45"/>
        <v>0.10320754716981131</v>
      </c>
      <c r="BY26" s="395">
        <f t="shared" si="33"/>
        <v>65.528601377657978</v>
      </c>
      <c r="BZ26" s="508">
        <f t="shared" si="16"/>
        <v>13.105720275531596</v>
      </c>
    </row>
    <row r="27" spans="2:78" s="3" customFormat="1" ht="15" x14ac:dyDescent="0.25">
      <c r="B27" s="385" t="s">
        <v>32</v>
      </c>
      <c r="C27" s="417" t="s">
        <v>33</v>
      </c>
      <c r="D27" s="453">
        <f t="shared" si="46"/>
        <v>6652</v>
      </c>
      <c r="E27" s="454">
        <f t="shared" si="47"/>
        <v>381</v>
      </c>
      <c r="F27" s="476">
        <f t="shared" si="48"/>
        <v>7033</v>
      </c>
      <c r="G27" s="222"/>
      <c r="H27" s="291">
        <v>40938</v>
      </c>
      <c r="I27" s="52">
        <f>7500</f>
        <v>7500</v>
      </c>
      <c r="J27" s="49">
        <v>40967</v>
      </c>
      <c r="K27" s="49">
        <v>41013</v>
      </c>
      <c r="L27" s="517">
        <v>0</v>
      </c>
      <c r="M27" s="294">
        <v>0</v>
      </c>
      <c r="N27" s="295">
        <v>0</v>
      </c>
      <c r="O27" s="291" t="s">
        <v>85</v>
      </c>
      <c r="P27" s="292"/>
      <c r="Q27" s="293">
        <v>0</v>
      </c>
      <c r="R27" s="294">
        <v>0</v>
      </c>
      <c r="S27" s="295">
        <f t="shared" si="34"/>
        <v>0</v>
      </c>
      <c r="T27" s="222"/>
      <c r="U27" s="246">
        <f t="shared" si="35"/>
        <v>6651.6738517324738</v>
      </c>
      <c r="V27" s="264">
        <f t="shared" si="20"/>
        <v>0</v>
      </c>
      <c r="W27" s="488">
        <f t="shared" si="36"/>
        <v>6651.6738517324738</v>
      </c>
      <c r="X27" s="497">
        <f t="shared" si="37"/>
        <v>6652</v>
      </c>
      <c r="Y27" s="222"/>
      <c r="Z27" s="573">
        <f t="shared" si="21"/>
        <v>33.484496259116021</v>
      </c>
      <c r="AA27" s="574">
        <f t="shared" si="22"/>
        <v>-0.45803214610626608</v>
      </c>
      <c r="AB27" s="575">
        <f t="shared" si="23"/>
        <v>1038.0193840325967</v>
      </c>
      <c r="AC27" s="576">
        <f t="shared" si="24"/>
        <v>7.7706487525155384E-3</v>
      </c>
      <c r="AD27" s="577">
        <f t="shared" si="25"/>
        <v>381</v>
      </c>
      <c r="AE27" s="488">
        <f t="shared" si="26"/>
        <v>0</v>
      </c>
      <c r="AF27" s="488">
        <f t="shared" si="5"/>
        <v>381</v>
      </c>
      <c r="AG27" s="497">
        <f t="shared" si="6"/>
        <v>381</v>
      </c>
      <c r="AH27" s="69"/>
      <c r="AI27" s="227">
        <f t="shared" si="38"/>
        <v>31</v>
      </c>
      <c r="AJ27" s="78">
        <v>31</v>
      </c>
      <c r="AK27" s="78">
        <v>0</v>
      </c>
      <c r="AL27" s="79">
        <v>0</v>
      </c>
      <c r="AM27" s="80">
        <v>5</v>
      </c>
      <c r="AN27" s="81">
        <v>6</v>
      </c>
      <c r="AO27" s="82">
        <v>20</v>
      </c>
      <c r="AP27" s="69"/>
      <c r="AQ27" s="319">
        <v>30</v>
      </c>
      <c r="AR27" s="330">
        <f t="shared" si="27"/>
        <v>31</v>
      </c>
      <c r="AS27" s="310">
        <f t="shared" si="39"/>
        <v>1</v>
      </c>
      <c r="AT27" s="530">
        <f t="shared" si="40"/>
        <v>3.3333333333333333E-2</v>
      </c>
      <c r="AU27" s="69"/>
      <c r="AV27" s="319">
        <v>21</v>
      </c>
      <c r="AW27" s="330">
        <f t="shared" si="49"/>
        <v>20</v>
      </c>
      <c r="AX27" s="310">
        <f t="shared" si="41"/>
        <v>-1</v>
      </c>
      <c r="AY27" s="352">
        <f t="shared" si="42"/>
        <v>-4.7619047619047616E-2</v>
      </c>
      <c r="AZ27" s="409">
        <f t="shared" si="28"/>
        <v>63.411240957150802</v>
      </c>
      <c r="BA27" s="508">
        <f t="shared" si="12"/>
        <v>12.682248191430162</v>
      </c>
      <c r="BB27" s="69"/>
      <c r="BC27" s="342">
        <f t="shared" si="29"/>
        <v>1</v>
      </c>
      <c r="BD27" s="157">
        <v>1</v>
      </c>
      <c r="BE27" s="148">
        <f>BL27-BF27</f>
        <v>0</v>
      </c>
      <c r="BF27" s="158">
        <v>2</v>
      </c>
      <c r="BG27" s="362">
        <f t="shared" si="43"/>
        <v>0.25</v>
      </c>
      <c r="BH27" s="409">
        <f t="shared" si="31"/>
        <v>0</v>
      </c>
      <c r="BI27" s="508">
        <f>BH27*0.25</f>
        <v>0</v>
      </c>
      <c r="BJ27" s="69"/>
      <c r="BK27" s="182">
        <f t="shared" si="32"/>
        <v>2</v>
      </c>
      <c r="BL27" s="173">
        <v>2</v>
      </c>
      <c r="BM27" s="164">
        <v>0</v>
      </c>
      <c r="BN27" s="82">
        <v>0</v>
      </c>
      <c r="BO27" s="69"/>
      <c r="BP27" s="550">
        <v>6</v>
      </c>
      <c r="BQ27" s="551">
        <v>2.33</v>
      </c>
      <c r="BR27" s="395">
        <f t="shared" si="44"/>
        <v>30.06451612903226</v>
      </c>
      <c r="BS27" s="508">
        <f t="shared" si="15"/>
        <v>10.522580645161291</v>
      </c>
      <c r="BT27" s="69"/>
      <c r="BU27" s="319">
        <v>1</v>
      </c>
      <c r="BV27" s="148">
        <v>170</v>
      </c>
      <c r="BW27" s="164">
        <v>21</v>
      </c>
      <c r="BX27" s="373">
        <f t="shared" si="45"/>
        <v>8.0952380952380942E-2</v>
      </c>
      <c r="BY27" s="395">
        <f t="shared" si="33"/>
        <v>51.398337112622826</v>
      </c>
      <c r="BZ27" s="508">
        <f t="shared" si="16"/>
        <v>10.279667422524566</v>
      </c>
    </row>
    <row r="28" spans="2:78" s="3" customFormat="1" ht="15" x14ac:dyDescent="0.25">
      <c r="B28" s="385" t="s">
        <v>34</v>
      </c>
      <c r="C28" s="417" t="s">
        <v>35</v>
      </c>
      <c r="D28" s="453">
        <f t="shared" si="46"/>
        <v>10712</v>
      </c>
      <c r="E28" s="454">
        <f t="shared" si="47"/>
        <v>1388</v>
      </c>
      <c r="F28" s="476">
        <f t="shared" si="48"/>
        <v>12100</v>
      </c>
      <c r="G28" s="218"/>
      <c r="H28" s="47">
        <v>40939</v>
      </c>
      <c r="I28" s="52">
        <v>13770</v>
      </c>
      <c r="J28" s="49">
        <v>40968</v>
      </c>
      <c r="K28" s="49">
        <v>41007</v>
      </c>
      <c r="L28" s="76">
        <v>0</v>
      </c>
      <c r="M28" s="77">
        <v>0</v>
      </c>
      <c r="N28" s="140">
        <v>0</v>
      </c>
      <c r="O28" s="47" t="s">
        <v>85</v>
      </c>
      <c r="P28" s="525"/>
      <c r="Q28" s="293">
        <v>0</v>
      </c>
      <c r="R28" s="294">
        <v>0</v>
      </c>
      <c r="S28" s="295">
        <f t="shared" si="34"/>
        <v>0</v>
      </c>
      <c r="T28" s="218"/>
      <c r="U28" s="246">
        <f t="shared" si="35"/>
        <v>10711.786462530217</v>
      </c>
      <c r="V28" s="264">
        <f t="shared" si="20"/>
        <v>0</v>
      </c>
      <c r="W28" s="488">
        <f t="shared" si="36"/>
        <v>10711.786462530217</v>
      </c>
      <c r="X28" s="497">
        <f t="shared" si="37"/>
        <v>10712</v>
      </c>
      <c r="Y28" s="218"/>
      <c r="Z28" s="573">
        <f t="shared" si="21"/>
        <v>72.780491030800675</v>
      </c>
      <c r="AA28" s="574">
        <f t="shared" si="22"/>
        <v>0.17799850486197855</v>
      </c>
      <c r="AB28" s="575">
        <f t="shared" si="23"/>
        <v>3784.5855336016352</v>
      </c>
      <c r="AC28" s="576">
        <f t="shared" si="24"/>
        <v>2.8331537260142713E-2</v>
      </c>
      <c r="AD28" s="577">
        <f t="shared" si="25"/>
        <v>1388</v>
      </c>
      <c r="AE28" s="488">
        <f t="shared" si="26"/>
        <v>0</v>
      </c>
      <c r="AF28" s="488">
        <f t="shared" si="5"/>
        <v>1388</v>
      </c>
      <c r="AG28" s="497">
        <f t="shared" si="6"/>
        <v>1388</v>
      </c>
      <c r="AH28" s="69"/>
      <c r="AI28" s="227">
        <f t="shared" si="38"/>
        <v>52</v>
      </c>
      <c r="AJ28" s="78">
        <v>52</v>
      </c>
      <c r="AK28" s="78">
        <v>0</v>
      </c>
      <c r="AL28" s="79">
        <v>0</v>
      </c>
      <c r="AM28" s="80">
        <v>13</v>
      </c>
      <c r="AN28" s="81">
        <v>6</v>
      </c>
      <c r="AO28" s="82">
        <v>33</v>
      </c>
      <c r="AP28" s="69"/>
      <c r="AQ28" s="319">
        <v>52</v>
      </c>
      <c r="AR28" s="330">
        <f t="shared" si="27"/>
        <v>52</v>
      </c>
      <c r="AS28" s="310">
        <f t="shared" si="39"/>
        <v>0</v>
      </c>
      <c r="AT28" s="530">
        <f t="shared" si="40"/>
        <v>0</v>
      </c>
      <c r="AU28" s="69"/>
      <c r="AV28" s="319">
        <v>33</v>
      </c>
      <c r="AW28" s="330">
        <f t="shared" si="49"/>
        <v>33</v>
      </c>
      <c r="AX28" s="310">
        <f t="shared" si="41"/>
        <v>0</v>
      </c>
      <c r="AY28" s="352">
        <f t="shared" si="42"/>
        <v>0</v>
      </c>
      <c r="AZ28" s="409">
        <f t="shared" si="28"/>
        <v>70.784641068447414</v>
      </c>
      <c r="BA28" s="508">
        <f t="shared" si="12"/>
        <v>14.156928213689483</v>
      </c>
      <c r="BB28" s="69"/>
      <c r="BC28" s="342">
        <f t="shared" si="29"/>
        <v>3</v>
      </c>
      <c r="BD28" s="81">
        <v>0</v>
      </c>
      <c r="BE28" s="148">
        <f t="shared" si="30"/>
        <v>2</v>
      </c>
      <c r="BF28" s="82">
        <v>0</v>
      </c>
      <c r="BG28" s="362">
        <f t="shared" si="43"/>
        <v>1</v>
      </c>
      <c r="BH28" s="409">
        <f t="shared" si="31"/>
        <v>100</v>
      </c>
      <c r="BI28" s="508">
        <f t="shared" si="13"/>
        <v>25</v>
      </c>
      <c r="BJ28" s="69"/>
      <c r="BK28" s="182">
        <f t="shared" si="32"/>
        <v>3</v>
      </c>
      <c r="BL28" s="173">
        <v>2</v>
      </c>
      <c r="BM28" s="164">
        <v>0</v>
      </c>
      <c r="BN28" s="82">
        <v>1</v>
      </c>
      <c r="BO28" s="69"/>
      <c r="BP28" s="550">
        <v>8</v>
      </c>
      <c r="BQ28" s="551">
        <v>4.25</v>
      </c>
      <c r="BR28" s="395">
        <f t="shared" si="44"/>
        <v>54.838709677419352</v>
      </c>
      <c r="BS28" s="508">
        <f t="shared" si="15"/>
        <v>19.193548387096772</v>
      </c>
      <c r="BT28" s="69"/>
      <c r="BU28" s="319">
        <v>1</v>
      </c>
      <c r="BV28" s="148">
        <v>375</v>
      </c>
      <c r="BW28" s="164">
        <v>33</v>
      </c>
      <c r="BX28" s="373">
        <f t="shared" si="45"/>
        <v>0.11363636363636363</v>
      </c>
      <c r="BY28" s="395">
        <f t="shared" si="33"/>
        <v>72.150072150072148</v>
      </c>
      <c r="BZ28" s="508">
        <f t="shared" si="16"/>
        <v>14.430014430014431</v>
      </c>
    </row>
    <row r="29" spans="2:78" s="3" customFormat="1" ht="15.75" thickBot="1" x14ac:dyDescent="0.3">
      <c r="B29" s="386" t="s">
        <v>36</v>
      </c>
      <c r="C29" s="418" t="s">
        <v>37</v>
      </c>
      <c r="D29" s="455">
        <f>X29</f>
        <v>4406</v>
      </c>
      <c r="E29" s="456">
        <f>AG29</f>
        <v>396</v>
      </c>
      <c r="F29" s="477">
        <f>D29+E29</f>
        <v>4802</v>
      </c>
      <c r="G29" s="218"/>
      <c r="H29" s="144">
        <v>40933</v>
      </c>
      <c r="I29" s="53">
        <v>12170</v>
      </c>
      <c r="J29" s="633">
        <v>40995</v>
      </c>
      <c r="K29" s="638">
        <v>41017</v>
      </c>
      <c r="L29" s="83">
        <v>0</v>
      </c>
      <c r="M29" s="84">
        <v>0</v>
      </c>
      <c r="N29" s="141">
        <v>0</v>
      </c>
      <c r="O29" s="144" t="s">
        <v>83</v>
      </c>
      <c r="P29" s="303"/>
      <c r="Q29" s="228">
        <v>0</v>
      </c>
      <c r="R29" s="84">
        <v>0</v>
      </c>
      <c r="S29" s="141">
        <f t="shared" si="34"/>
        <v>0</v>
      </c>
      <c r="T29" s="218"/>
      <c r="U29" s="247">
        <f t="shared" si="35"/>
        <v>4405.6541095890407</v>
      </c>
      <c r="V29" s="265">
        <f t="shared" si="20"/>
        <v>0</v>
      </c>
      <c r="W29" s="489">
        <f t="shared" si="36"/>
        <v>4405.6541095890407</v>
      </c>
      <c r="X29" s="498">
        <f t="shared" si="37"/>
        <v>4406</v>
      </c>
      <c r="Y29" s="218"/>
      <c r="Z29" s="578">
        <f t="shared" si="21"/>
        <v>22.490261547022818</v>
      </c>
      <c r="AA29" s="579">
        <f t="shared" si="22"/>
        <v>-0.63598082259247612</v>
      </c>
      <c r="AB29" s="580">
        <f t="shared" si="23"/>
        <v>1079.5325542570954</v>
      </c>
      <c r="AC29" s="581">
        <f t="shared" si="24"/>
        <v>8.0814177703008895E-3</v>
      </c>
      <c r="AD29" s="582">
        <f t="shared" si="25"/>
        <v>396</v>
      </c>
      <c r="AE29" s="489">
        <f t="shared" si="26"/>
        <v>0</v>
      </c>
      <c r="AF29" s="489">
        <f t="shared" si="5"/>
        <v>396</v>
      </c>
      <c r="AG29" s="498">
        <f t="shared" si="6"/>
        <v>396</v>
      </c>
      <c r="AH29" s="69"/>
      <c r="AI29" s="228">
        <f t="shared" si="38"/>
        <v>48</v>
      </c>
      <c r="AJ29" s="85">
        <v>42</v>
      </c>
      <c r="AK29" s="85">
        <v>1</v>
      </c>
      <c r="AL29" s="86">
        <v>6</v>
      </c>
      <c r="AM29" s="87">
        <v>45</v>
      </c>
      <c r="AN29" s="88">
        <v>3</v>
      </c>
      <c r="AO29" s="89">
        <v>0</v>
      </c>
      <c r="AP29" s="69"/>
      <c r="AQ29" s="320">
        <v>49</v>
      </c>
      <c r="AR29" s="331">
        <f t="shared" si="27"/>
        <v>48</v>
      </c>
      <c r="AS29" s="311">
        <f t="shared" si="39"/>
        <v>-1</v>
      </c>
      <c r="AT29" s="531">
        <v>0</v>
      </c>
      <c r="AU29" s="69"/>
      <c r="AV29" s="320">
        <v>0</v>
      </c>
      <c r="AW29" s="331">
        <f t="shared" si="49"/>
        <v>0</v>
      </c>
      <c r="AX29" s="311">
        <f t="shared" si="41"/>
        <v>0</v>
      </c>
      <c r="AY29" s="353">
        <v>0</v>
      </c>
      <c r="AZ29" s="410">
        <f t="shared" si="28"/>
        <v>70.784641068447414</v>
      </c>
      <c r="BA29" s="509">
        <f t="shared" si="12"/>
        <v>14.156928213689483</v>
      </c>
      <c r="BB29" s="69"/>
      <c r="BC29" s="343">
        <f t="shared" si="29"/>
        <v>2</v>
      </c>
      <c r="BD29" s="160">
        <v>2</v>
      </c>
      <c r="BE29" s="149">
        <f t="shared" si="30"/>
        <v>0</v>
      </c>
      <c r="BF29" s="89">
        <v>0</v>
      </c>
      <c r="BG29" s="363">
        <f t="shared" si="43"/>
        <v>0.5</v>
      </c>
      <c r="BH29" s="410">
        <f t="shared" si="31"/>
        <v>33.333333333333336</v>
      </c>
      <c r="BI29" s="509">
        <f t="shared" si="13"/>
        <v>8.3333333333333339</v>
      </c>
      <c r="BJ29" s="69"/>
      <c r="BK29" s="183">
        <f t="shared" si="32"/>
        <v>4</v>
      </c>
      <c r="BL29" s="174">
        <v>0</v>
      </c>
      <c r="BM29" s="165">
        <v>0</v>
      </c>
      <c r="BN29" s="89">
        <v>4</v>
      </c>
      <c r="BO29" s="69"/>
      <c r="BP29" s="552">
        <v>0</v>
      </c>
      <c r="BQ29" s="553">
        <v>0</v>
      </c>
      <c r="BR29" s="396">
        <f t="shared" si="44"/>
        <v>0</v>
      </c>
      <c r="BS29" s="509">
        <f t="shared" si="15"/>
        <v>0</v>
      </c>
      <c r="BT29" s="69"/>
      <c r="BU29" s="320">
        <v>0</v>
      </c>
      <c r="BV29" s="149">
        <v>0</v>
      </c>
      <c r="BW29" s="165">
        <v>0</v>
      </c>
      <c r="BX29" s="374">
        <v>0</v>
      </c>
      <c r="BY29" s="396">
        <f t="shared" si="33"/>
        <v>0</v>
      </c>
      <c r="BZ29" s="509">
        <f t="shared" si="16"/>
        <v>0</v>
      </c>
    </row>
    <row r="30" spans="2:78" s="3" customFormat="1" ht="7.5" customHeight="1" thickBot="1" x14ac:dyDescent="0.3">
      <c r="B30" s="387"/>
      <c r="C30" s="7"/>
      <c r="D30" s="34"/>
      <c r="E30" s="34"/>
      <c r="F30" s="34"/>
      <c r="G30" s="69"/>
      <c r="H30" s="34"/>
      <c r="I30" s="34"/>
      <c r="J30" s="34"/>
      <c r="K30" s="34"/>
      <c r="L30" s="69"/>
      <c r="M30" s="69"/>
      <c r="N30" s="69"/>
      <c r="O30" s="34"/>
      <c r="P30" s="34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90"/>
      <c r="AM30" s="91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91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543"/>
      <c r="BQ30" s="541"/>
      <c r="BR30" s="69"/>
      <c r="BS30" s="69"/>
      <c r="BT30" s="69"/>
      <c r="BU30" s="69"/>
      <c r="BV30" s="69"/>
      <c r="BW30" s="69"/>
      <c r="BX30" s="69"/>
      <c r="BY30" s="69"/>
      <c r="BZ30" s="69"/>
    </row>
    <row r="31" spans="2:78" s="3" customFormat="1" ht="15" x14ac:dyDescent="0.25">
      <c r="B31" s="391">
        <v>514</v>
      </c>
      <c r="C31" s="423" t="s">
        <v>104</v>
      </c>
      <c r="D31" s="457">
        <f>X31</f>
        <v>163009</v>
      </c>
      <c r="E31" s="458">
        <f>AG31</f>
        <v>18612</v>
      </c>
      <c r="F31" s="478">
        <f>D31+E31</f>
        <v>181621</v>
      </c>
      <c r="G31" s="218"/>
      <c r="H31" s="201">
        <v>40945</v>
      </c>
      <c r="I31" s="58">
        <v>204270</v>
      </c>
      <c r="J31" s="197">
        <v>40981</v>
      </c>
      <c r="K31" s="197">
        <v>41014</v>
      </c>
      <c r="L31" s="117"/>
      <c r="M31" s="118"/>
      <c r="N31" s="143">
        <v>0</v>
      </c>
      <c r="O31" s="304" t="s">
        <v>12</v>
      </c>
      <c r="P31" s="304" t="s">
        <v>12</v>
      </c>
      <c r="Q31" s="305">
        <v>0</v>
      </c>
      <c r="R31" s="118">
        <v>0</v>
      </c>
      <c r="S31" s="143">
        <f>IF(R31="","",R31*5/100)</f>
        <v>0</v>
      </c>
      <c r="T31" s="218"/>
      <c r="U31" s="254">
        <f>SUM(U32:U37)</f>
        <v>163009.2020547945</v>
      </c>
      <c r="V31" s="266">
        <f>-U31*N31</f>
        <v>0</v>
      </c>
      <c r="W31" s="491">
        <f>U31+V31</f>
        <v>163009.2020547945</v>
      </c>
      <c r="X31" s="499">
        <f>ROUND(W31,0)</f>
        <v>163009</v>
      </c>
      <c r="Y31" s="218"/>
      <c r="Z31" s="618" t="s">
        <v>12</v>
      </c>
      <c r="AA31" s="619" t="s">
        <v>12</v>
      </c>
      <c r="AB31" s="620" t="s">
        <v>12</v>
      </c>
      <c r="AC31" s="621" t="s">
        <v>12</v>
      </c>
      <c r="AD31" s="622" t="s">
        <v>12</v>
      </c>
      <c r="AE31" s="623" t="s">
        <v>12</v>
      </c>
      <c r="AF31" s="491">
        <f>SUM(AF32:AF37)</f>
        <v>18612</v>
      </c>
      <c r="AG31" s="499">
        <f>SUM(AG32:AG37)</f>
        <v>18612</v>
      </c>
      <c r="AH31" s="239"/>
      <c r="AI31" s="233">
        <f>SUM(AI32:AI37)</f>
        <v>769</v>
      </c>
      <c r="AJ31" s="119">
        <f>SUM(AJ32:AJ37)</f>
        <v>765</v>
      </c>
      <c r="AK31" s="119">
        <f>SUM(AK32:AK37)</f>
        <v>2</v>
      </c>
      <c r="AL31" s="198">
        <f>SUM(AL32:AL37)</f>
        <v>4</v>
      </c>
      <c r="AM31" s="120">
        <f t="shared" ref="AM31:AO31" si="50">SUM(AM32:AM37)</f>
        <v>160</v>
      </c>
      <c r="AN31" s="121">
        <f t="shared" si="50"/>
        <v>100</v>
      </c>
      <c r="AO31" s="122">
        <f t="shared" si="50"/>
        <v>509</v>
      </c>
      <c r="AP31" s="239"/>
      <c r="AQ31" s="325">
        <f>SUM(AQ32:AQ37)</f>
        <v>702</v>
      </c>
      <c r="AR31" s="336">
        <f>SUM(AR32:AR37)</f>
        <v>769</v>
      </c>
      <c r="AS31" s="315">
        <f>SUM(AS32:AS37)</f>
        <v>67</v>
      </c>
      <c r="AT31" s="535">
        <f>AS31/AQ31</f>
        <v>9.5441595441595445E-2</v>
      </c>
      <c r="AU31" s="239"/>
      <c r="AV31" s="325">
        <f>SUM(AV32:AV37)</f>
        <v>461</v>
      </c>
      <c r="AW31" s="336">
        <f>SUM(AW32:AW37)</f>
        <v>509</v>
      </c>
      <c r="AX31" s="315">
        <f>SUM(AX32:AX37)</f>
        <v>48</v>
      </c>
      <c r="AY31" s="357">
        <f>AX31/AV31</f>
        <v>0.10412147505422993</v>
      </c>
      <c r="AZ31" s="193" t="s">
        <v>12</v>
      </c>
      <c r="BA31" s="361" t="s">
        <v>12</v>
      </c>
      <c r="BB31" s="239"/>
      <c r="BC31" s="348">
        <f>SUM(BC32:BC37)</f>
        <v>31</v>
      </c>
      <c r="BD31" s="209">
        <f>SUM(BD32:BD37)</f>
        <v>2</v>
      </c>
      <c r="BE31" s="154">
        <f>SUM(BE32:BE37)</f>
        <v>12</v>
      </c>
      <c r="BF31" s="206">
        <f>SUM(BF32:BF37)</f>
        <v>10</v>
      </c>
      <c r="BG31" s="367">
        <f t="shared" si="43"/>
        <v>0.78181818181818186</v>
      </c>
      <c r="BH31" s="193" t="s">
        <v>12</v>
      </c>
      <c r="BI31" s="361" t="s">
        <v>12</v>
      </c>
      <c r="BJ31" s="239"/>
      <c r="BK31" s="193" t="s">
        <v>12</v>
      </c>
      <c r="BL31" s="194" t="s">
        <v>12</v>
      </c>
      <c r="BM31" s="195" t="s">
        <v>12</v>
      </c>
      <c r="BN31" s="196" t="s">
        <v>12</v>
      </c>
      <c r="BO31" s="239"/>
      <c r="BP31" s="560">
        <f>SUM(BP32:BP37)</f>
        <v>82</v>
      </c>
      <c r="BQ31" s="561">
        <v>3.94</v>
      </c>
      <c r="BR31" s="193" t="s">
        <v>12</v>
      </c>
      <c r="BS31" s="361" t="s">
        <v>12</v>
      </c>
      <c r="BT31" s="239"/>
      <c r="BU31" s="325">
        <f>SUM(BU32:BU37)</f>
        <v>13</v>
      </c>
      <c r="BV31" s="383">
        <f>SUM(BV32:BV37)</f>
        <v>5214</v>
      </c>
      <c r="BW31" s="195">
        <f t="shared" si="19"/>
        <v>461</v>
      </c>
      <c r="BX31" s="378">
        <f>BV31/BW31/100</f>
        <v>0.11310195227765726</v>
      </c>
      <c r="BY31" s="193" t="s">
        <v>12</v>
      </c>
      <c r="BZ31" s="361" t="s">
        <v>12</v>
      </c>
    </row>
    <row r="32" spans="2:78" s="3" customFormat="1" ht="15" x14ac:dyDescent="0.25">
      <c r="B32" s="389" t="s">
        <v>38</v>
      </c>
      <c r="C32" s="420" t="s">
        <v>5</v>
      </c>
      <c r="D32" s="426" t="s">
        <v>12</v>
      </c>
      <c r="E32" s="432" t="s">
        <v>12</v>
      </c>
      <c r="F32" s="437" t="s">
        <v>12</v>
      </c>
      <c r="G32" s="219"/>
      <c r="H32" s="519">
        <v>40942</v>
      </c>
      <c r="I32" s="55" t="s">
        <v>12</v>
      </c>
      <c r="J32" s="55" t="s">
        <v>12</v>
      </c>
      <c r="K32" s="522">
        <v>41012</v>
      </c>
      <c r="L32" s="98" t="s">
        <v>12</v>
      </c>
      <c r="M32" s="99" t="s">
        <v>12</v>
      </c>
      <c r="N32" s="99" t="s">
        <v>12</v>
      </c>
      <c r="O32" s="41" t="s">
        <v>85</v>
      </c>
      <c r="P32" s="634"/>
      <c r="Q32" s="280" t="s">
        <v>12</v>
      </c>
      <c r="R32" s="99" t="s">
        <v>12</v>
      </c>
      <c r="S32" s="405">
        <v>0</v>
      </c>
      <c r="T32" s="219"/>
      <c r="U32" s="248">
        <f>$U$5*AM32+$U$5*2*AN32+$U$5*3*AO32</f>
        <v>21509.958299758258</v>
      </c>
      <c r="V32" s="261" t="s">
        <v>12</v>
      </c>
      <c r="W32" s="261" t="s">
        <v>12</v>
      </c>
      <c r="X32" s="505" t="s">
        <v>12</v>
      </c>
      <c r="Y32" s="219"/>
      <c r="Z32" s="583">
        <f t="shared" ref="Z32:Z37" si="51">SUM(BA32,BI32,BS32,BZ32)</f>
        <v>69.014829628341502</v>
      </c>
      <c r="AA32" s="584">
        <f t="shared" ref="AA32:AA37" si="52">(Z32/($Z$39/21))-1</f>
        <v>0.11704888169941885</v>
      </c>
      <c r="AB32" s="585">
        <f t="shared" ref="AB32:AB37" si="53">Z32*AI32</f>
        <v>7453.6015998608818</v>
      </c>
      <c r="AC32" s="586">
        <f t="shared" ref="AC32:AC37" si="54">AB32/$AB$39</f>
        <v>5.5797917519320575E-2</v>
      </c>
      <c r="AD32" s="587">
        <f t="shared" ref="AD32:AD37" si="55">ROUND(AC32*$AD$42,0)</f>
        <v>2734</v>
      </c>
      <c r="AE32" s="261">
        <f t="shared" ref="AE32:AE37" si="56">-AD32*S32</f>
        <v>0</v>
      </c>
      <c r="AF32" s="588">
        <f t="shared" si="5"/>
        <v>2734</v>
      </c>
      <c r="AG32" s="624">
        <f t="shared" si="6"/>
        <v>2734</v>
      </c>
      <c r="AH32" s="214"/>
      <c r="AI32" s="230">
        <f>AJ32+AL32</f>
        <v>108</v>
      </c>
      <c r="AJ32" s="100">
        <v>108</v>
      </c>
      <c r="AK32" s="100">
        <v>0</v>
      </c>
      <c r="AL32" s="101">
        <v>0</v>
      </c>
      <c r="AM32" s="102">
        <v>30</v>
      </c>
      <c r="AN32" s="204">
        <v>15</v>
      </c>
      <c r="AO32" s="103">
        <v>63</v>
      </c>
      <c r="AP32" s="214"/>
      <c r="AQ32" s="322">
        <v>96</v>
      </c>
      <c r="AR32" s="333">
        <f t="shared" ref="AR32:AR37" si="57">AI32</f>
        <v>108</v>
      </c>
      <c r="AS32" s="312">
        <f>AR32-AQ32</f>
        <v>12</v>
      </c>
      <c r="AT32" s="533">
        <f>AS32/AQ32</f>
        <v>0.125</v>
      </c>
      <c r="AU32" s="214"/>
      <c r="AV32" s="322">
        <v>53</v>
      </c>
      <c r="AW32" s="333">
        <f>AO32</f>
        <v>63</v>
      </c>
      <c r="AX32" s="312">
        <f>AW32-AV32</f>
        <v>10</v>
      </c>
      <c r="AY32" s="355">
        <f>AX32/AV32</f>
        <v>0.18867924528301888</v>
      </c>
      <c r="AZ32" s="411">
        <f t="shared" ref="AZ32:AZ37" si="58">100*(AY32-MIN(AY$11:AY$14,AY$17:AY$18,AY$21:AY$29,AY$32:AY$37))/(MAX(AY$11:AY$14,AY$17:AY$18,AY$21:AY$29,AY$32:AY$37)-MIN(AY$11:AY$14,AY$17:AY$18,AY$21:AY$29,AY$32:AY$37))</f>
        <v>100.00000000000001</v>
      </c>
      <c r="BA32" s="510">
        <f t="shared" si="12"/>
        <v>20.000000000000004</v>
      </c>
      <c r="BB32" s="214"/>
      <c r="BC32" s="345">
        <f t="shared" ref="BC32:BC37" si="59">BK32-BD32</f>
        <v>5</v>
      </c>
      <c r="BD32" s="539">
        <v>1</v>
      </c>
      <c r="BE32" s="151">
        <f t="shared" ref="BE32:BE37" si="60">BL32-BF32</f>
        <v>2</v>
      </c>
      <c r="BF32" s="207">
        <v>2</v>
      </c>
      <c r="BG32" s="365">
        <f t="shared" si="43"/>
        <v>0.7</v>
      </c>
      <c r="BH32" s="411">
        <f t="shared" ref="BH32:BH37" si="61">100*(BG32-MIN(BG$11:BG$14,BG$17:BG$18,BG$21:BG$29,BG$32:BG$37))/(MAX(BG$11:BG$14,BG$17:BG$18,BG$21:BG$29,BG$32:BG$37)-MIN(BG$11:BG$14,BG$17:BG$18,BG$21:BG$29,BG$32:BG$37))</f>
        <v>59.999999999999993</v>
      </c>
      <c r="BI32" s="510">
        <f t="shared" si="13"/>
        <v>14.999999999999998</v>
      </c>
      <c r="BJ32" s="214"/>
      <c r="BK32" s="184">
        <f t="shared" ref="BK32:BK37" si="62">SUM(BL32:BN32)</f>
        <v>6</v>
      </c>
      <c r="BL32" s="175">
        <v>4</v>
      </c>
      <c r="BM32" s="166">
        <v>1</v>
      </c>
      <c r="BN32" s="103">
        <v>1</v>
      </c>
      <c r="BO32" s="214"/>
      <c r="BP32" s="554">
        <v>13</v>
      </c>
      <c r="BQ32" s="555">
        <v>3.85</v>
      </c>
      <c r="BR32" s="397">
        <f>100*(BQ32-MIN(BQ$11:BQ$14,BQ$17:BQ$18,BQ$21:BQ$29,BQ$32:BQ$37))/(MAX(BQ$11:BQ$14,BQ$17:BQ$18,BQ$21:BQ$29,BQ$32:BQ$37)-MIN(BQ$11:BQ$14,BQ$17:BQ$18,BQ$21:BQ$29,BQ$32:BQ$37))</f>
        <v>49.677419354838712</v>
      </c>
      <c r="BS32" s="510">
        <f t="shared" si="15"/>
        <v>17.387096774193548</v>
      </c>
      <c r="BT32" s="214"/>
      <c r="BU32" s="322">
        <v>1</v>
      </c>
      <c r="BV32" s="151">
        <v>694</v>
      </c>
      <c r="BW32" s="166">
        <v>53</v>
      </c>
      <c r="BX32" s="376">
        <f t="shared" ref="BX32:BX37" si="63">BV32/BW32/100</f>
        <v>0.1309433962264151</v>
      </c>
      <c r="BY32" s="397">
        <f t="shared" ref="BY32:BY37" si="64">100*(BX32-MIN(BX$11:BX$14,BX$17:BX$18,BX$21:BX$29,BX$32:BX$37))/(MAX(BX$11:BX$14,BX$17:BX$18,BX$21:BX$29,BX$32:BX$37)-MIN(BX$11:BX$14,BX$17:BX$18,BX$21:BX$29,BX$32:BX$37))</f>
        <v>83.138664270739739</v>
      </c>
      <c r="BZ32" s="510">
        <f t="shared" si="16"/>
        <v>16.627732854147947</v>
      </c>
    </row>
    <row r="33" spans="2:78" s="3" customFormat="1" ht="15" x14ac:dyDescent="0.25">
      <c r="B33" s="392" t="s">
        <v>39</v>
      </c>
      <c r="C33" s="424" t="s">
        <v>6</v>
      </c>
      <c r="D33" s="429" t="s">
        <v>12</v>
      </c>
      <c r="E33" s="435" t="s">
        <v>12</v>
      </c>
      <c r="F33" s="440" t="s">
        <v>12</v>
      </c>
      <c r="G33" s="219"/>
      <c r="H33" s="524">
        <v>40931</v>
      </c>
      <c r="I33" s="59" t="s">
        <v>12</v>
      </c>
      <c r="J33" s="59" t="s">
        <v>12</v>
      </c>
      <c r="K33" s="523">
        <v>40981</v>
      </c>
      <c r="L33" s="123" t="s">
        <v>12</v>
      </c>
      <c r="M33" s="124" t="s">
        <v>12</v>
      </c>
      <c r="N33" s="124" t="s">
        <v>12</v>
      </c>
      <c r="O33" s="46" t="s">
        <v>85</v>
      </c>
      <c r="P33" s="636"/>
      <c r="Q33" s="284" t="s">
        <v>12</v>
      </c>
      <c r="R33" s="124" t="s">
        <v>12</v>
      </c>
      <c r="S33" s="407">
        <v>0</v>
      </c>
      <c r="T33" s="219"/>
      <c r="U33" s="250">
        <f t="shared" ref="U33:U37" si="65">$U$5*AM33+$U$5*2*AN33+$U$5*3*AO33</f>
        <v>76882.983481063668</v>
      </c>
      <c r="V33" s="267" t="s">
        <v>12</v>
      </c>
      <c r="W33" s="267" t="s">
        <v>12</v>
      </c>
      <c r="X33" s="506" t="s">
        <v>12</v>
      </c>
      <c r="Y33" s="219"/>
      <c r="Z33" s="595">
        <f t="shared" si="51"/>
        <v>68.447801821690462</v>
      </c>
      <c r="AA33" s="596">
        <f t="shared" si="52"/>
        <v>0.10787117625954457</v>
      </c>
      <c r="AB33" s="597">
        <f t="shared" si="53"/>
        <v>22861.565808444615</v>
      </c>
      <c r="AC33" s="598">
        <f t="shared" si="54"/>
        <v>0.17114246666550048</v>
      </c>
      <c r="AD33" s="599">
        <f t="shared" si="55"/>
        <v>8386</v>
      </c>
      <c r="AE33" s="267">
        <f t="shared" si="56"/>
        <v>0</v>
      </c>
      <c r="AF33" s="600">
        <f t="shared" si="5"/>
        <v>8386</v>
      </c>
      <c r="AG33" s="625">
        <f t="shared" si="6"/>
        <v>8386</v>
      </c>
      <c r="AH33" s="214"/>
      <c r="AI33" s="234">
        <f t="shared" ref="AI33:AI37" si="66">AJ33+AL33</f>
        <v>334</v>
      </c>
      <c r="AJ33" s="125">
        <v>333</v>
      </c>
      <c r="AK33" s="125">
        <v>0</v>
      </c>
      <c r="AL33" s="126">
        <v>1</v>
      </c>
      <c r="AM33" s="127">
        <v>39</v>
      </c>
      <c r="AN33" s="208">
        <v>34</v>
      </c>
      <c r="AO33" s="128">
        <v>261</v>
      </c>
      <c r="AP33" s="214"/>
      <c r="AQ33" s="326">
        <v>292</v>
      </c>
      <c r="AR33" s="337">
        <f t="shared" si="57"/>
        <v>334</v>
      </c>
      <c r="AS33" s="314">
        <f>AR33-AQ33</f>
        <v>42</v>
      </c>
      <c r="AT33" s="536">
        <f t="shared" ref="AT33:AT37" si="67">AS33/AQ33</f>
        <v>0.14383561643835616</v>
      </c>
      <c r="AU33" s="214"/>
      <c r="AV33" s="326">
        <v>226</v>
      </c>
      <c r="AW33" s="337">
        <f t="shared" ref="AW33:AW37" si="68">AO33</f>
        <v>261</v>
      </c>
      <c r="AX33" s="314">
        <f>AW33-AV33</f>
        <v>35</v>
      </c>
      <c r="AY33" s="358">
        <f t="shared" ref="AY33:AY37" si="69">AX33/AV33</f>
        <v>0.15486725663716813</v>
      </c>
      <c r="AZ33" s="413">
        <f t="shared" si="58"/>
        <v>94.764504262266016</v>
      </c>
      <c r="BA33" s="512">
        <f t="shared" si="12"/>
        <v>18.952900852453205</v>
      </c>
      <c r="BB33" s="214"/>
      <c r="BC33" s="349">
        <f t="shared" si="59"/>
        <v>8</v>
      </c>
      <c r="BD33" s="208">
        <v>0</v>
      </c>
      <c r="BE33" s="155">
        <f t="shared" si="60"/>
        <v>4</v>
      </c>
      <c r="BF33" s="540">
        <v>3</v>
      </c>
      <c r="BG33" s="368">
        <f t="shared" si="43"/>
        <v>0.8</v>
      </c>
      <c r="BH33" s="413">
        <f t="shared" si="61"/>
        <v>73.333333333333343</v>
      </c>
      <c r="BI33" s="512">
        <f t="shared" si="13"/>
        <v>18.333333333333336</v>
      </c>
      <c r="BJ33" s="214"/>
      <c r="BK33" s="187">
        <f t="shared" si="62"/>
        <v>8</v>
      </c>
      <c r="BL33" s="178">
        <v>7</v>
      </c>
      <c r="BM33" s="169">
        <v>0</v>
      </c>
      <c r="BN33" s="128">
        <v>1</v>
      </c>
      <c r="BO33" s="214"/>
      <c r="BP33" s="562">
        <v>29</v>
      </c>
      <c r="BQ33" s="563">
        <v>3.72</v>
      </c>
      <c r="BR33" s="399">
        <f t="shared" ref="BR33:BR37" si="70">100*(BQ33-MIN(BQ$11:BQ$14,BQ$17:BQ$18,BQ$21:BQ$29,BQ$32:BQ$37))/(MAX(BQ$11:BQ$14,BQ$17:BQ$18,BQ$21:BQ$29,BQ$32:BQ$37)-MIN(BQ$11:BQ$14,BQ$17:BQ$18,BQ$21:BQ$29,BQ$32:BQ$37))</f>
        <v>48</v>
      </c>
      <c r="BS33" s="512">
        <f t="shared" si="15"/>
        <v>16.799999999999997</v>
      </c>
      <c r="BT33" s="214"/>
      <c r="BU33" s="326">
        <v>5</v>
      </c>
      <c r="BV33" s="155">
        <v>2556</v>
      </c>
      <c r="BW33" s="169">
        <v>226</v>
      </c>
      <c r="BX33" s="379">
        <f t="shared" si="63"/>
        <v>0.11309734513274336</v>
      </c>
      <c r="BY33" s="399">
        <f t="shared" si="64"/>
        <v>71.807838179519592</v>
      </c>
      <c r="BZ33" s="512">
        <f t="shared" si="16"/>
        <v>14.361567635903919</v>
      </c>
    </row>
    <row r="34" spans="2:78" s="3" customFormat="1" ht="15" x14ac:dyDescent="0.25">
      <c r="B34" s="392" t="s">
        <v>13</v>
      </c>
      <c r="C34" s="424" t="s">
        <v>7</v>
      </c>
      <c r="D34" s="429" t="s">
        <v>12</v>
      </c>
      <c r="E34" s="435" t="s">
        <v>12</v>
      </c>
      <c r="F34" s="440" t="s">
        <v>12</v>
      </c>
      <c r="G34" s="219"/>
      <c r="H34" s="524">
        <v>40939</v>
      </c>
      <c r="I34" s="59" t="s">
        <v>12</v>
      </c>
      <c r="J34" s="59" t="s">
        <v>12</v>
      </c>
      <c r="K34" s="523">
        <v>41012</v>
      </c>
      <c r="L34" s="123" t="s">
        <v>12</v>
      </c>
      <c r="M34" s="124" t="s">
        <v>12</v>
      </c>
      <c r="N34" s="124" t="s">
        <v>12</v>
      </c>
      <c r="O34" s="46" t="s">
        <v>85</v>
      </c>
      <c r="P34" s="636"/>
      <c r="Q34" s="284" t="s">
        <v>12</v>
      </c>
      <c r="R34" s="124" t="s">
        <v>12</v>
      </c>
      <c r="S34" s="407">
        <v>0</v>
      </c>
      <c r="T34" s="219"/>
      <c r="U34" s="250">
        <f t="shared" si="65"/>
        <v>37318.481869460113</v>
      </c>
      <c r="V34" s="267" t="s">
        <v>12</v>
      </c>
      <c r="W34" s="267" t="s">
        <v>12</v>
      </c>
      <c r="X34" s="506" t="s">
        <v>12</v>
      </c>
      <c r="Y34" s="219"/>
      <c r="Z34" s="595">
        <f t="shared" si="51"/>
        <v>63.72197459199905</v>
      </c>
      <c r="AA34" s="596">
        <f t="shared" si="52"/>
        <v>3.1380658924939908E-2</v>
      </c>
      <c r="AB34" s="597">
        <f t="shared" si="53"/>
        <v>11724.843324927826</v>
      </c>
      <c r="AC34" s="598">
        <f t="shared" si="54"/>
        <v>8.7772579739637549E-2</v>
      </c>
      <c r="AD34" s="599">
        <f t="shared" si="55"/>
        <v>4301</v>
      </c>
      <c r="AE34" s="267">
        <f t="shared" si="56"/>
        <v>0</v>
      </c>
      <c r="AF34" s="600">
        <f t="shared" si="5"/>
        <v>4301</v>
      </c>
      <c r="AG34" s="625">
        <f t="shared" si="6"/>
        <v>4301</v>
      </c>
      <c r="AH34" s="214"/>
      <c r="AI34" s="234">
        <f t="shared" si="66"/>
        <v>184</v>
      </c>
      <c r="AJ34" s="125">
        <v>182</v>
      </c>
      <c r="AK34" s="125">
        <v>1</v>
      </c>
      <c r="AL34" s="126">
        <v>2</v>
      </c>
      <c r="AM34" s="127">
        <v>48</v>
      </c>
      <c r="AN34" s="208">
        <v>24</v>
      </c>
      <c r="AO34" s="128">
        <v>112</v>
      </c>
      <c r="AP34" s="214"/>
      <c r="AQ34" s="326">
        <v>163</v>
      </c>
      <c r="AR34" s="337">
        <f t="shared" si="57"/>
        <v>184</v>
      </c>
      <c r="AS34" s="314">
        <f t="shared" ref="AS34:AS37" si="71">AR34-AQ34</f>
        <v>21</v>
      </c>
      <c r="AT34" s="536">
        <f t="shared" si="67"/>
        <v>0.12883435582822086</v>
      </c>
      <c r="AU34" s="214"/>
      <c r="AV34" s="326">
        <v>95</v>
      </c>
      <c r="AW34" s="337">
        <f t="shared" si="68"/>
        <v>112</v>
      </c>
      <c r="AX34" s="314">
        <f t="shared" ref="AX34:AX37" si="72">AW34-AV34</f>
        <v>17</v>
      </c>
      <c r="AY34" s="358">
        <f t="shared" si="69"/>
        <v>0.17894736842105263</v>
      </c>
      <c r="AZ34" s="413">
        <f t="shared" si="58"/>
        <v>98.493102539319921</v>
      </c>
      <c r="BA34" s="512">
        <f t="shared" si="12"/>
        <v>19.698620507863986</v>
      </c>
      <c r="BB34" s="214"/>
      <c r="BC34" s="349">
        <f t="shared" si="59"/>
        <v>8</v>
      </c>
      <c r="BD34" s="208">
        <v>1</v>
      </c>
      <c r="BE34" s="155">
        <f t="shared" si="60"/>
        <v>3</v>
      </c>
      <c r="BF34" s="540">
        <v>2</v>
      </c>
      <c r="BG34" s="368">
        <f t="shared" si="43"/>
        <v>0.7857142857142857</v>
      </c>
      <c r="BH34" s="413">
        <f t="shared" si="61"/>
        <v>71.428571428571431</v>
      </c>
      <c r="BI34" s="512">
        <f t="shared" si="13"/>
        <v>17.857142857142858</v>
      </c>
      <c r="BJ34" s="214"/>
      <c r="BK34" s="187">
        <f t="shared" si="62"/>
        <v>9</v>
      </c>
      <c r="BL34" s="178">
        <v>5</v>
      </c>
      <c r="BM34" s="169">
        <v>2</v>
      </c>
      <c r="BN34" s="128">
        <v>2</v>
      </c>
      <c r="BO34" s="214"/>
      <c r="BP34" s="562">
        <v>12</v>
      </c>
      <c r="BQ34" s="563">
        <v>2.92</v>
      </c>
      <c r="BR34" s="399">
        <f t="shared" si="70"/>
        <v>37.677419354838712</v>
      </c>
      <c r="BS34" s="512">
        <f t="shared" si="15"/>
        <v>13.187096774193549</v>
      </c>
      <c r="BT34" s="214"/>
      <c r="BU34" s="326">
        <v>3</v>
      </c>
      <c r="BV34" s="155">
        <v>971</v>
      </c>
      <c r="BW34" s="169">
        <v>95</v>
      </c>
      <c r="BX34" s="379">
        <f t="shared" si="63"/>
        <v>0.10221052631578947</v>
      </c>
      <c r="BY34" s="399">
        <f t="shared" si="64"/>
        <v>64.895572263993316</v>
      </c>
      <c r="BZ34" s="512">
        <f t="shared" si="16"/>
        <v>12.979114452798663</v>
      </c>
    </row>
    <row r="35" spans="2:78" s="3" customFormat="1" ht="15" x14ac:dyDescent="0.25">
      <c r="B35" s="392" t="s">
        <v>40</v>
      </c>
      <c r="C35" s="424" t="s">
        <v>8</v>
      </c>
      <c r="D35" s="429" t="s">
        <v>12</v>
      </c>
      <c r="E35" s="435" t="s">
        <v>12</v>
      </c>
      <c r="F35" s="440" t="s">
        <v>12</v>
      </c>
      <c r="G35" s="219"/>
      <c r="H35" s="524">
        <v>40939</v>
      </c>
      <c r="I35" s="59" t="s">
        <v>12</v>
      </c>
      <c r="J35" s="59" t="s">
        <v>12</v>
      </c>
      <c r="K35" s="523">
        <v>41014</v>
      </c>
      <c r="L35" s="123" t="s">
        <v>12</v>
      </c>
      <c r="M35" s="124" t="s">
        <v>12</v>
      </c>
      <c r="N35" s="124" t="s">
        <v>12</v>
      </c>
      <c r="O35" s="46" t="s">
        <v>85</v>
      </c>
      <c r="P35" s="636"/>
      <c r="Q35" s="284" t="s">
        <v>12</v>
      </c>
      <c r="R35" s="124" t="s">
        <v>12</v>
      </c>
      <c r="S35" s="407">
        <v>0</v>
      </c>
      <c r="T35" s="219"/>
      <c r="U35" s="250">
        <f t="shared" si="65"/>
        <v>11748.410958904111</v>
      </c>
      <c r="V35" s="267" t="s">
        <v>12</v>
      </c>
      <c r="W35" s="267" t="s">
        <v>12</v>
      </c>
      <c r="X35" s="506" t="s">
        <v>12</v>
      </c>
      <c r="Y35" s="219"/>
      <c r="Z35" s="595">
        <f t="shared" si="51"/>
        <v>45.715943814085875</v>
      </c>
      <c r="AA35" s="596">
        <f t="shared" si="52"/>
        <v>-0.26005839341539094</v>
      </c>
      <c r="AB35" s="597">
        <f t="shared" si="53"/>
        <v>2742.9566288451524</v>
      </c>
      <c r="AC35" s="598">
        <f t="shared" si="54"/>
        <v>2.0533867511543961E-2</v>
      </c>
      <c r="AD35" s="599">
        <f t="shared" si="55"/>
        <v>1006</v>
      </c>
      <c r="AE35" s="267">
        <f t="shared" si="56"/>
        <v>0</v>
      </c>
      <c r="AF35" s="600">
        <f t="shared" si="5"/>
        <v>1006</v>
      </c>
      <c r="AG35" s="625">
        <f t="shared" si="6"/>
        <v>1006</v>
      </c>
      <c r="AH35" s="214"/>
      <c r="AI35" s="234">
        <f t="shared" si="66"/>
        <v>60</v>
      </c>
      <c r="AJ35" s="125">
        <v>59</v>
      </c>
      <c r="AK35" s="125">
        <v>0</v>
      </c>
      <c r="AL35" s="126">
        <v>1</v>
      </c>
      <c r="AM35" s="127">
        <v>18</v>
      </c>
      <c r="AN35" s="208">
        <v>8</v>
      </c>
      <c r="AO35" s="128">
        <v>34</v>
      </c>
      <c r="AP35" s="214"/>
      <c r="AQ35" s="326">
        <v>60</v>
      </c>
      <c r="AR35" s="337">
        <f t="shared" si="57"/>
        <v>60</v>
      </c>
      <c r="AS35" s="314">
        <f t="shared" si="71"/>
        <v>0</v>
      </c>
      <c r="AT35" s="536">
        <f t="shared" si="67"/>
        <v>0</v>
      </c>
      <c r="AU35" s="214"/>
      <c r="AV35" s="326">
        <v>39</v>
      </c>
      <c r="AW35" s="337">
        <f t="shared" si="68"/>
        <v>34</v>
      </c>
      <c r="AX35" s="314">
        <f t="shared" si="72"/>
        <v>-5</v>
      </c>
      <c r="AY35" s="358">
        <f t="shared" si="69"/>
        <v>-0.12820512820512819</v>
      </c>
      <c r="AZ35" s="413">
        <f t="shared" si="58"/>
        <v>50.93317923034116</v>
      </c>
      <c r="BA35" s="512">
        <f t="shared" si="12"/>
        <v>10.186635846068233</v>
      </c>
      <c r="BB35" s="214"/>
      <c r="BC35" s="349">
        <f t="shared" si="59"/>
        <v>4</v>
      </c>
      <c r="BD35" s="208">
        <v>0</v>
      </c>
      <c r="BE35" s="155">
        <f t="shared" si="60"/>
        <v>1</v>
      </c>
      <c r="BF35" s="540">
        <v>2</v>
      </c>
      <c r="BG35" s="368">
        <f t="shared" si="43"/>
        <v>0.7142857142857143</v>
      </c>
      <c r="BH35" s="413">
        <f t="shared" si="61"/>
        <v>61.904761904761905</v>
      </c>
      <c r="BI35" s="512">
        <f t="shared" si="13"/>
        <v>15.476190476190476</v>
      </c>
      <c r="BJ35" s="214"/>
      <c r="BK35" s="187">
        <f t="shared" si="62"/>
        <v>4</v>
      </c>
      <c r="BL35" s="178">
        <v>3</v>
      </c>
      <c r="BM35" s="169">
        <v>0</v>
      </c>
      <c r="BN35" s="128">
        <v>1</v>
      </c>
      <c r="BO35" s="214"/>
      <c r="BP35" s="562">
        <v>14</v>
      </c>
      <c r="BQ35" s="563">
        <v>2.71</v>
      </c>
      <c r="BR35" s="399">
        <f t="shared" si="70"/>
        <v>34.967741935483872</v>
      </c>
      <c r="BS35" s="512">
        <f t="shared" si="15"/>
        <v>12.238709677419354</v>
      </c>
      <c r="BT35" s="214"/>
      <c r="BU35" s="326">
        <v>1</v>
      </c>
      <c r="BV35" s="155">
        <v>240</v>
      </c>
      <c r="BW35" s="169">
        <v>39</v>
      </c>
      <c r="BX35" s="379">
        <f t="shared" si="63"/>
        <v>6.1538461538461542E-2</v>
      </c>
      <c r="BY35" s="399">
        <f t="shared" si="64"/>
        <v>39.072039072039075</v>
      </c>
      <c r="BZ35" s="512">
        <f t="shared" si="16"/>
        <v>7.8144078144078151</v>
      </c>
    </row>
    <row r="36" spans="2:78" s="3" customFormat="1" ht="15" x14ac:dyDescent="0.25">
      <c r="B36" s="392" t="s">
        <v>41</v>
      </c>
      <c r="C36" s="424" t="s">
        <v>9</v>
      </c>
      <c r="D36" s="429" t="s">
        <v>12</v>
      </c>
      <c r="E36" s="435" t="s">
        <v>12</v>
      </c>
      <c r="F36" s="440" t="s">
        <v>12</v>
      </c>
      <c r="G36" s="219"/>
      <c r="H36" s="524">
        <v>40938</v>
      </c>
      <c r="I36" s="59" t="s">
        <v>12</v>
      </c>
      <c r="J36" s="59" t="s">
        <v>12</v>
      </c>
      <c r="K36" s="523">
        <v>41013</v>
      </c>
      <c r="L36" s="123" t="s">
        <v>12</v>
      </c>
      <c r="M36" s="124" t="s">
        <v>12</v>
      </c>
      <c r="N36" s="124" t="s">
        <v>12</v>
      </c>
      <c r="O36" s="46" t="s">
        <v>85</v>
      </c>
      <c r="P36" s="636"/>
      <c r="Q36" s="284" t="s">
        <v>12</v>
      </c>
      <c r="R36" s="124" t="s">
        <v>12</v>
      </c>
      <c r="S36" s="407">
        <v>0</v>
      </c>
      <c r="T36" s="219"/>
      <c r="U36" s="250">
        <f t="shared" si="65"/>
        <v>4664.8102336825141</v>
      </c>
      <c r="V36" s="267" t="s">
        <v>12</v>
      </c>
      <c r="W36" s="267" t="s">
        <v>12</v>
      </c>
      <c r="X36" s="506" t="s">
        <v>12</v>
      </c>
      <c r="Y36" s="219"/>
      <c r="Z36" s="595">
        <f t="shared" si="51"/>
        <v>91.576238174735664</v>
      </c>
      <c r="AA36" s="596">
        <f t="shared" si="52"/>
        <v>0.4822196185110883</v>
      </c>
      <c r="AB36" s="597">
        <f t="shared" si="53"/>
        <v>2472.5584307178628</v>
      </c>
      <c r="AC36" s="598">
        <f t="shared" si="54"/>
        <v>1.8509657315393818E-2</v>
      </c>
      <c r="AD36" s="599">
        <f t="shared" si="55"/>
        <v>907</v>
      </c>
      <c r="AE36" s="267">
        <f t="shared" si="56"/>
        <v>0</v>
      </c>
      <c r="AF36" s="600">
        <f t="shared" si="5"/>
        <v>907</v>
      </c>
      <c r="AG36" s="625">
        <f t="shared" si="6"/>
        <v>907</v>
      </c>
      <c r="AH36" s="214"/>
      <c r="AI36" s="234">
        <f t="shared" si="66"/>
        <v>27</v>
      </c>
      <c r="AJ36" s="125">
        <v>27</v>
      </c>
      <c r="AK36" s="125">
        <v>1</v>
      </c>
      <c r="AL36" s="126">
        <v>0</v>
      </c>
      <c r="AM36" s="127">
        <v>11</v>
      </c>
      <c r="AN36" s="208">
        <v>5</v>
      </c>
      <c r="AO36" s="128">
        <v>11</v>
      </c>
      <c r="AP36" s="214"/>
      <c r="AQ36" s="326">
        <v>28</v>
      </c>
      <c r="AR36" s="337">
        <f t="shared" si="57"/>
        <v>27</v>
      </c>
      <c r="AS36" s="314">
        <f t="shared" si="71"/>
        <v>-1</v>
      </c>
      <c r="AT36" s="536">
        <f t="shared" si="67"/>
        <v>-3.5714285714285712E-2</v>
      </c>
      <c r="AU36" s="214"/>
      <c r="AV36" s="326">
        <v>12</v>
      </c>
      <c r="AW36" s="337">
        <f t="shared" si="68"/>
        <v>11</v>
      </c>
      <c r="AX36" s="314">
        <f t="shared" si="72"/>
        <v>-1</v>
      </c>
      <c r="AY36" s="358">
        <f t="shared" si="69"/>
        <v>-8.3333333333333329E-2</v>
      </c>
      <c r="AZ36" s="413">
        <f t="shared" si="58"/>
        <v>57.881190873678349</v>
      </c>
      <c r="BA36" s="512">
        <f t="shared" si="12"/>
        <v>11.576238174735671</v>
      </c>
      <c r="BB36" s="214"/>
      <c r="BC36" s="349">
        <f t="shared" si="59"/>
        <v>3</v>
      </c>
      <c r="BD36" s="208">
        <v>0</v>
      </c>
      <c r="BE36" s="155">
        <f t="shared" si="60"/>
        <v>1</v>
      </c>
      <c r="BF36" s="128">
        <v>0</v>
      </c>
      <c r="BG36" s="368">
        <f t="shared" si="43"/>
        <v>1</v>
      </c>
      <c r="BH36" s="413">
        <f t="shared" si="61"/>
        <v>100</v>
      </c>
      <c r="BI36" s="512">
        <f t="shared" si="13"/>
        <v>25</v>
      </c>
      <c r="BJ36" s="214"/>
      <c r="BK36" s="187">
        <f t="shared" si="62"/>
        <v>3</v>
      </c>
      <c r="BL36" s="178">
        <v>1</v>
      </c>
      <c r="BM36" s="169">
        <v>1</v>
      </c>
      <c r="BN36" s="128">
        <v>1</v>
      </c>
      <c r="BO36" s="214"/>
      <c r="BP36" s="562">
        <v>4</v>
      </c>
      <c r="BQ36" s="563">
        <v>7.75</v>
      </c>
      <c r="BR36" s="399">
        <f t="shared" si="70"/>
        <v>100</v>
      </c>
      <c r="BS36" s="512">
        <f t="shared" si="15"/>
        <v>35</v>
      </c>
      <c r="BT36" s="214"/>
      <c r="BU36" s="326">
        <v>1</v>
      </c>
      <c r="BV36" s="155">
        <v>189</v>
      </c>
      <c r="BW36" s="169">
        <v>12</v>
      </c>
      <c r="BX36" s="379">
        <f t="shared" si="63"/>
        <v>0.1575</v>
      </c>
      <c r="BY36" s="399">
        <f t="shared" si="64"/>
        <v>100</v>
      </c>
      <c r="BZ36" s="512">
        <f t="shared" si="16"/>
        <v>20</v>
      </c>
    </row>
    <row r="37" spans="2:78" s="3" customFormat="1" ht="15.75" thickBot="1" x14ac:dyDescent="0.3">
      <c r="B37" s="390" t="s">
        <v>42</v>
      </c>
      <c r="C37" s="421" t="s">
        <v>10</v>
      </c>
      <c r="D37" s="427" t="s">
        <v>12</v>
      </c>
      <c r="E37" s="433" t="s">
        <v>12</v>
      </c>
      <c r="F37" s="438" t="s">
        <v>12</v>
      </c>
      <c r="G37" s="219"/>
      <c r="H37" s="521">
        <v>40941</v>
      </c>
      <c r="I37" s="56" t="s">
        <v>12</v>
      </c>
      <c r="J37" s="56" t="s">
        <v>12</v>
      </c>
      <c r="K37" s="520">
        <v>41013</v>
      </c>
      <c r="L37" s="104" t="s">
        <v>12</v>
      </c>
      <c r="M37" s="105" t="s">
        <v>12</v>
      </c>
      <c r="N37" s="105" t="s">
        <v>12</v>
      </c>
      <c r="O37" s="43" t="s">
        <v>85</v>
      </c>
      <c r="P37" s="635"/>
      <c r="Q37" s="281" t="s">
        <v>12</v>
      </c>
      <c r="R37" s="105" t="s">
        <v>12</v>
      </c>
      <c r="S37" s="406">
        <v>0</v>
      </c>
      <c r="T37" s="219"/>
      <c r="U37" s="249">
        <f t="shared" si="65"/>
        <v>10884.557211925867</v>
      </c>
      <c r="V37" s="262" t="s">
        <v>12</v>
      </c>
      <c r="W37" s="262" t="s">
        <v>12</v>
      </c>
      <c r="X37" s="515" t="s">
        <v>12</v>
      </c>
      <c r="Y37" s="219"/>
      <c r="Z37" s="589">
        <f t="shared" si="51"/>
        <v>62.212278756680711</v>
      </c>
      <c r="AA37" s="590">
        <f t="shared" si="52"/>
        <v>6.9452723039737929E-3</v>
      </c>
      <c r="AB37" s="591">
        <f t="shared" si="53"/>
        <v>3483.88761037412</v>
      </c>
      <c r="AC37" s="592">
        <f t="shared" si="54"/>
        <v>2.6080502281456294E-2</v>
      </c>
      <c r="AD37" s="593">
        <f t="shared" si="55"/>
        <v>1278</v>
      </c>
      <c r="AE37" s="262">
        <f t="shared" si="56"/>
        <v>0</v>
      </c>
      <c r="AF37" s="594">
        <f t="shared" si="5"/>
        <v>1278</v>
      </c>
      <c r="AG37" s="626">
        <f t="shared" si="6"/>
        <v>1278</v>
      </c>
      <c r="AH37" s="214"/>
      <c r="AI37" s="231">
        <f t="shared" si="66"/>
        <v>56</v>
      </c>
      <c r="AJ37" s="106">
        <v>56</v>
      </c>
      <c r="AK37" s="106">
        <v>0</v>
      </c>
      <c r="AL37" s="107">
        <v>0</v>
      </c>
      <c r="AM37" s="108">
        <v>14</v>
      </c>
      <c r="AN37" s="205">
        <v>14</v>
      </c>
      <c r="AO37" s="109">
        <v>28</v>
      </c>
      <c r="AP37" s="214"/>
      <c r="AQ37" s="323">
        <v>63</v>
      </c>
      <c r="AR37" s="334">
        <f t="shared" si="57"/>
        <v>56</v>
      </c>
      <c r="AS37" s="313">
        <f t="shared" si="71"/>
        <v>-7</v>
      </c>
      <c r="AT37" s="534">
        <f t="shared" si="67"/>
        <v>-0.1111111111111111</v>
      </c>
      <c r="AU37" s="214"/>
      <c r="AV37" s="323">
        <v>36</v>
      </c>
      <c r="AW37" s="334">
        <f t="shared" si="68"/>
        <v>28</v>
      </c>
      <c r="AX37" s="313">
        <f t="shared" si="72"/>
        <v>-8</v>
      </c>
      <c r="AY37" s="356">
        <f t="shared" si="69"/>
        <v>-0.22222222222222221</v>
      </c>
      <c r="AZ37" s="412">
        <f t="shared" si="58"/>
        <v>36.375440549063249</v>
      </c>
      <c r="BA37" s="511">
        <f t="shared" si="12"/>
        <v>7.2750881098126499</v>
      </c>
      <c r="BB37" s="214"/>
      <c r="BC37" s="346">
        <f t="shared" si="59"/>
        <v>3</v>
      </c>
      <c r="BD37" s="205">
        <v>0</v>
      </c>
      <c r="BE37" s="152">
        <f t="shared" si="60"/>
        <v>1</v>
      </c>
      <c r="BF37" s="538">
        <v>1</v>
      </c>
      <c r="BG37" s="366">
        <f t="shared" si="43"/>
        <v>0.8</v>
      </c>
      <c r="BH37" s="412">
        <f t="shared" si="61"/>
        <v>73.333333333333343</v>
      </c>
      <c r="BI37" s="511">
        <f t="shared" si="13"/>
        <v>18.333333333333336</v>
      </c>
      <c r="BJ37" s="214"/>
      <c r="BK37" s="185">
        <f t="shared" si="62"/>
        <v>3</v>
      </c>
      <c r="BL37" s="176">
        <v>2</v>
      </c>
      <c r="BM37" s="167">
        <v>0</v>
      </c>
      <c r="BN37" s="109">
        <v>1</v>
      </c>
      <c r="BO37" s="214"/>
      <c r="BP37" s="556">
        <v>10</v>
      </c>
      <c r="BQ37" s="557">
        <v>3.7</v>
      </c>
      <c r="BR37" s="398">
        <f t="shared" si="70"/>
        <v>47.741935483870968</v>
      </c>
      <c r="BS37" s="511">
        <f t="shared" si="15"/>
        <v>16.709677419354836</v>
      </c>
      <c r="BT37" s="214"/>
      <c r="BU37" s="323">
        <v>2</v>
      </c>
      <c r="BV37" s="152">
        <v>564</v>
      </c>
      <c r="BW37" s="167">
        <v>36</v>
      </c>
      <c r="BX37" s="377">
        <f t="shared" si="63"/>
        <v>0.15666666666666665</v>
      </c>
      <c r="BY37" s="398">
        <f t="shared" si="64"/>
        <v>99.470899470899454</v>
      </c>
      <c r="BZ37" s="511">
        <f t="shared" si="16"/>
        <v>19.894179894179892</v>
      </c>
    </row>
    <row r="38" spans="2:78" s="3" customFormat="1" ht="9.75" customHeight="1" thickBot="1" x14ac:dyDescent="0.3">
      <c r="B38" s="8"/>
      <c r="C38" s="7"/>
      <c r="D38" s="35"/>
      <c r="E38" s="35"/>
      <c r="F38" s="35"/>
      <c r="G38" s="69"/>
      <c r="H38" s="35"/>
      <c r="I38" s="35"/>
      <c r="J38" s="35"/>
      <c r="K38" s="35"/>
      <c r="L38" s="129"/>
      <c r="M38" s="129"/>
      <c r="N38" s="129"/>
      <c r="O38" s="35"/>
      <c r="P38" s="35"/>
      <c r="Q38" s="514"/>
      <c r="R38" s="129"/>
      <c r="S38" s="129"/>
      <c r="T38" s="69"/>
      <c r="U38" s="129"/>
      <c r="V38" s="129"/>
      <c r="W38" s="129"/>
      <c r="X38" s="129"/>
      <c r="Y38" s="69"/>
      <c r="Z38" s="129"/>
      <c r="AA38" s="129"/>
      <c r="AB38" s="129"/>
      <c r="AC38" s="129"/>
      <c r="AD38" s="129"/>
      <c r="AE38" s="129"/>
      <c r="AF38" s="129"/>
      <c r="AG38" s="129"/>
      <c r="AH38" s="69"/>
      <c r="AI38" s="129"/>
      <c r="AJ38" s="129"/>
      <c r="AK38" s="129"/>
      <c r="AL38" s="130"/>
      <c r="AM38" s="131"/>
      <c r="AN38" s="129"/>
      <c r="AO38" s="129"/>
      <c r="AP38" s="69"/>
      <c r="AQ38" s="129"/>
      <c r="AR38" s="129"/>
      <c r="AS38" s="129"/>
      <c r="AT38" s="129"/>
      <c r="AU38" s="69"/>
      <c r="AV38" s="129"/>
      <c r="AW38" s="129"/>
      <c r="AX38" s="129"/>
      <c r="AY38" s="129"/>
      <c r="AZ38" s="129"/>
      <c r="BA38" s="129"/>
      <c r="BB38" s="69"/>
      <c r="BC38" s="131"/>
      <c r="BD38" s="129"/>
      <c r="BE38" s="129"/>
      <c r="BF38" s="129"/>
      <c r="BG38" s="129"/>
      <c r="BH38" s="129"/>
      <c r="BI38" s="129"/>
      <c r="BJ38" s="69"/>
      <c r="BK38" s="129"/>
      <c r="BL38" s="129"/>
      <c r="BM38" s="129"/>
      <c r="BN38" s="129"/>
      <c r="BO38" s="69"/>
      <c r="BP38" s="544"/>
      <c r="BQ38" s="542"/>
      <c r="BR38" s="129"/>
      <c r="BS38" s="129"/>
      <c r="BT38" s="69"/>
      <c r="BU38" s="129"/>
      <c r="BV38" s="129"/>
      <c r="BW38" s="129"/>
      <c r="BX38" s="129"/>
      <c r="BY38" s="129"/>
      <c r="BZ38" s="129"/>
    </row>
    <row r="39" spans="2:78" s="5" customFormat="1" ht="15.75" thickBot="1" x14ac:dyDescent="0.3">
      <c r="B39" s="393">
        <v>510</v>
      </c>
      <c r="C39" s="31" t="s">
        <v>46</v>
      </c>
      <c r="D39" s="465">
        <v>428817</v>
      </c>
      <c r="E39" s="466">
        <v>49000</v>
      </c>
      <c r="F39" s="467">
        <f>SUM(D39:E39)</f>
        <v>477817</v>
      </c>
      <c r="G39" s="223"/>
      <c r="H39" s="527"/>
      <c r="I39" s="60"/>
      <c r="J39" s="60"/>
      <c r="K39" s="526"/>
      <c r="L39" s="132">
        <v>0</v>
      </c>
      <c r="M39" s="133">
        <v>0</v>
      </c>
      <c r="N39" s="138" t="s">
        <v>12</v>
      </c>
      <c r="O39" s="285" t="s">
        <v>85</v>
      </c>
      <c r="P39" s="286"/>
      <c r="Q39" s="287">
        <v>0</v>
      </c>
      <c r="R39" s="288">
        <v>0</v>
      </c>
      <c r="S39" s="138" t="s">
        <v>12</v>
      </c>
      <c r="T39" s="223"/>
      <c r="U39" s="252">
        <f>D39</f>
        <v>428817</v>
      </c>
      <c r="V39" s="275" t="s">
        <v>12</v>
      </c>
      <c r="W39" s="275" t="s">
        <v>12</v>
      </c>
      <c r="X39" s="500">
        <f>U39</f>
        <v>428817</v>
      </c>
      <c r="Y39" s="223"/>
      <c r="Z39" s="605">
        <f>SUM(Z11:Z14,Z17:Z18,Z21:Z29,Z32:Z37)</f>
        <v>1297.4467330295038</v>
      </c>
      <c r="AA39" s="606" t="s">
        <v>12</v>
      </c>
      <c r="AB39" s="607">
        <f>SUM(AB11:AB14,AB17:AB18,AB21:AB29,AB32:AB37)</f>
        <v>133582.07494535972</v>
      </c>
      <c r="AC39" s="608">
        <f>AB39/$AB$39</f>
        <v>1</v>
      </c>
      <c r="AD39" s="609">
        <f>E39</f>
        <v>49000</v>
      </c>
      <c r="AE39" s="275" t="s">
        <v>12</v>
      </c>
      <c r="AF39" s="275" t="s">
        <v>12</v>
      </c>
      <c r="AG39" s="500">
        <f>AD39</f>
        <v>49000</v>
      </c>
      <c r="AH39" s="239"/>
      <c r="AI39" s="235">
        <f>SUM(AI11:AI14,AI17:AI18,AI21:AI29,AI32:AI37)</f>
        <v>2094</v>
      </c>
      <c r="AJ39" s="134">
        <f>SUM(AJ11:AJ14,AJ17:AJ18,AJ21:AJ29,AJ32:AJ37)</f>
        <v>2073</v>
      </c>
      <c r="AK39" s="134">
        <f>SUM(AK11:AK14,AK17:AK18,AK21:AK29,AK32:AK37)</f>
        <v>4</v>
      </c>
      <c r="AL39" s="210">
        <f>SUM(AL11:AL14,AL17:AL18,AL21:AL29,AL32:AL37)</f>
        <v>21</v>
      </c>
      <c r="AM39" s="135">
        <f t="shared" ref="AM39:AO39" si="73">SUM(AM11:AM14,AM17:AM18,AM21:AM29,AM32:AM37)</f>
        <v>504</v>
      </c>
      <c r="AN39" s="136">
        <f t="shared" si="73"/>
        <v>310</v>
      </c>
      <c r="AO39" s="137">
        <f t="shared" si="73"/>
        <v>1280</v>
      </c>
      <c r="AP39" s="239"/>
      <c r="AQ39" s="327">
        <f>SUM(AQ11:AQ14,AQ17:AQ18,AQ21:AQ29,AQ32:AQ37)</f>
        <v>2042</v>
      </c>
      <c r="AR39" s="338">
        <f>SUM(AR11:AR14,AR17:AR18,AR21:AR29,AR32:AR37)</f>
        <v>2094</v>
      </c>
      <c r="AS39" s="339">
        <f>SUM(AS11:AS14,AS17:AS18,AS21:AS29,AS32:AS37)</f>
        <v>52</v>
      </c>
      <c r="AT39" s="537">
        <f>AS39/AQ39</f>
        <v>2.5465230166503428E-2</v>
      </c>
      <c r="AU39" s="239"/>
      <c r="AV39" s="327">
        <f>SUM(AV11:AV14,AV17:AV18,AV21:AV29,AV32:AV37)</f>
        <v>1251</v>
      </c>
      <c r="AW39" s="338">
        <f>SUM(AW11:AW14,AW17:AW18,AW21:AW29,AW32:AW37)</f>
        <v>1280</v>
      </c>
      <c r="AX39" s="339">
        <f>SUM(AX11:AX14,AX17:AX18,AX21:AX29,AX32:AX37)</f>
        <v>29</v>
      </c>
      <c r="AY39" s="359">
        <f>AX39/AV39</f>
        <v>2.3181454836131096E-2</v>
      </c>
      <c r="AZ39" s="400" t="s">
        <v>12</v>
      </c>
      <c r="BA39" s="401" t="s">
        <v>12</v>
      </c>
      <c r="BB39" s="239"/>
      <c r="BC39" s="350">
        <f>SUM(BC11:BC14,BC17:BC18,BC21:BC29,BC32:BC37)</f>
        <v>86</v>
      </c>
      <c r="BD39" s="136">
        <f>SUM(BD11:BD14,BD17:BD18,BD21:BD29,BD32:BD37)</f>
        <v>8</v>
      </c>
      <c r="BE39" s="156">
        <f>SUM(BE11:BE14,BE17:BE18,BE21:BE29,BE32:BE37)</f>
        <v>47</v>
      </c>
      <c r="BF39" s="137">
        <f>SUM(BF11:BF14,BF17:BF18,BF21:BF29,BF32:BF37)</f>
        <v>18</v>
      </c>
      <c r="BG39" s="369">
        <f>(BC39+BE39)/SUM(BC39:BF39)</f>
        <v>0.83647798742138368</v>
      </c>
      <c r="BH39" s="414" t="s">
        <v>12</v>
      </c>
      <c r="BI39" s="401" t="s">
        <v>12</v>
      </c>
      <c r="BJ39" s="239"/>
      <c r="BK39" s="188">
        <f>SUM(BK11:BK14,BK17:BK18,BK21:BK29,BK32:BK37)</f>
        <v>94</v>
      </c>
      <c r="BL39" s="179">
        <f>SUM(BL11:BL14,BL17:BL18,BL21:BL29,BL32:BL37)</f>
        <v>65</v>
      </c>
      <c r="BM39" s="170">
        <f>SUM(BM11:BM14,BM17:BM18,BM21:BM29,BM32:BM37)</f>
        <v>9</v>
      </c>
      <c r="BN39" s="137">
        <f>SUM(BN11:BN14,BN17:BN18,BN21:BN29,BN32:BN37)</f>
        <v>20</v>
      </c>
      <c r="BO39" s="239"/>
      <c r="BP39" s="564">
        <f>SUM(BP10,BP16,BP20,BP31)</f>
        <v>275</v>
      </c>
      <c r="BQ39" s="565">
        <v>3.63</v>
      </c>
      <c r="BR39" s="400" t="s">
        <v>12</v>
      </c>
      <c r="BS39" s="401" t="s">
        <v>12</v>
      </c>
      <c r="BT39" s="239"/>
      <c r="BU39" s="327">
        <f>SUM(BU11:BU14,BU17:BU18,BU21:BU29,BU32:BU37)</f>
        <v>39</v>
      </c>
      <c r="BV39" s="156">
        <f>SUM(BV11:BV14,BV17:BV18,BV21:BV29,BV32:BV37)</f>
        <v>12473</v>
      </c>
      <c r="BW39" s="170">
        <f>SUM(BW11:BW14,BW17:BW18,BW21:BW29,BW32:BW37)</f>
        <v>1251</v>
      </c>
      <c r="BX39" s="380">
        <f>BV39/BW39/100</f>
        <v>9.9704236610711428E-2</v>
      </c>
      <c r="BY39" s="400" t="s">
        <v>12</v>
      </c>
      <c r="BZ39" s="401" t="s">
        <v>12</v>
      </c>
    </row>
    <row r="40" spans="2:78" ht="15" x14ac:dyDescent="0.25">
      <c r="C40" s="272" t="s">
        <v>80</v>
      </c>
      <c r="D40" s="462">
        <f>X40</f>
        <v>0</v>
      </c>
      <c r="E40" s="463">
        <v>0</v>
      </c>
      <c r="F40" s="464">
        <f>SUM(D40:E40)</f>
        <v>0</v>
      </c>
      <c r="H40" s="442"/>
      <c r="I40" s="442"/>
      <c r="J40" s="442"/>
      <c r="K40" s="442"/>
      <c r="L40" s="443"/>
      <c r="M40" s="443"/>
      <c r="N40" s="443"/>
      <c r="U40" s="273">
        <v>0</v>
      </c>
      <c r="V40" s="274">
        <f>ABS(SUM(V11:V14,V16,V21:V29,V31))</f>
        <v>0</v>
      </c>
      <c r="W40" s="274">
        <f>V40</f>
        <v>0</v>
      </c>
      <c r="X40" s="501">
        <f>U40+ROUND(V40,0)</f>
        <v>0</v>
      </c>
      <c r="Z40" s="479"/>
      <c r="AA40" s="479"/>
      <c r="AB40" s="479"/>
      <c r="AC40" s="480"/>
      <c r="AD40" s="601">
        <v>0</v>
      </c>
      <c r="AE40" s="274">
        <f>ABS(SUM(AE11:AE14,AE16,AE21:AE29,AE31))</f>
        <v>0</v>
      </c>
      <c r="AF40" s="274">
        <f>AD40+AE40</f>
        <v>0</v>
      </c>
      <c r="AG40" s="501">
        <f>AD40+ROUND(AE40,0)</f>
        <v>0</v>
      </c>
      <c r="AH40" s="214"/>
      <c r="AI40" s="214"/>
      <c r="AP40" s="214"/>
      <c r="AQ40" s="214"/>
      <c r="AR40" s="214"/>
      <c r="AS40" s="214"/>
      <c r="AT40" s="214"/>
      <c r="AU40" s="214"/>
      <c r="BB40" s="214"/>
      <c r="BJ40" s="214"/>
      <c r="BO40" s="214"/>
      <c r="BT40" s="214"/>
    </row>
    <row r="41" spans="2:78" ht="15" x14ac:dyDescent="0.25">
      <c r="C41" s="40" t="s">
        <v>79</v>
      </c>
      <c r="D41" s="468">
        <f>X41</f>
        <v>-2</v>
      </c>
      <c r="E41" s="469">
        <v>0</v>
      </c>
      <c r="F41" s="470">
        <f>SUM(D41:E41)</f>
        <v>-2</v>
      </c>
      <c r="H41" s="444"/>
      <c r="I41" s="444"/>
      <c r="J41" s="444"/>
      <c r="K41" s="444"/>
      <c r="L41" s="276"/>
      <c r="M41" s="276"/>
      <c r="N41" s="276"/>
      <c r="U41" s="270">
        <v>0</v>
      </c>
      <c r="V41" s="271" t="s">
        <v>12</v>
      </c>
      <c r="W41" s="271" t="s">
        <v>12</v>
      </c>
      <c r="X41" s="502">
        <f>(U39-X40)-X42</f>
        <v>-2</v>
      </c>
      <c r="Z41" s="481"/>
      <c r="AA41" s="481"/>
      <c r="AB41" s="481"/>
      <c r="AC41" s="482"/>
      <c r="AD41" s="602">
        <v>0</v>
      </c>
      <c r="AE41" s="271" t="s">
        <v>12</v>
      </c>
      <c r="AF41" s="271" t="s">
        <v>12</v>
      </c>
      <c r="AG41" s="502">
        <f>(AD39-AG40)-AG42</f>
        <v>0</v>
      </c>
      <c r="AH41" s="214"/>
      <c r="AI41" s="214"/>
      <c r="AP41" s="214"/>
      <c r="AQ41" s="214"/>
      <c r="AR41" s="214"/>
      <c r="AS41" s="214"/>
      <c r="AT41" s="214"/>
      <c r="AU41" s="214"/>
      <c r="BB41" s="214"/>
      <c r="BJ41" s="214"/>
      <c r="BO41" s="214"/>
      <c r="BT41" s="214"/>
    </row>
    <row r="42" spans="2:78" ht="15.75" thickBot="1" x14ac:dyDescent="0.3">
      <c r="C42" s="42" t="s">
        <v>74</v>
      </c>
      <c r="D42" s="459">
        <f>SUM(D11:D14,D16,D21:D29,D31)</f>
        <v>428819</v>
      </c>
      <c r="E42" s="460">
        <f t="shared" ref="E42" si="74">SUM(E11:E14,E16,E21:E29,E31)</f>
        <v>49000</v>
      </c>
      <c r="F42" s="461">
        <f>SUM(D42:E42)</f>
        <v>477819</v>
      </c>
      <c r="H42" s="444"/>
      <c r="I42" s="444"/>
      <c r="J42" s="444"/>
      <c r="K42" s="444"/>
      <c r="L42" s="276"/>
      <c r="M42" s="276"/>
      <c r="N42" s="276"/>
      <c r="U42" s="268">
        <f>U39-U40</f>
        <v>428817</v>
      </c>
      <c r="V42" s="269" t="s">
        <v>12</v>
      </c>
      <c r="W42" s="269" t="s">
        <v>12</v>
      </c>
      <c r="X42" s="503">
        <f>SUM(X11:X14,X16,X21:X29,X31)</f>
        <v>428819</v>
      </c>
      <c r="Z42" s="483"/>
      <c r="AA42" s="483"/>
      <c r="AB42" s="483"/>
      <c r="AC42" s="484"/>
      <c r="AD42" s="603">
        <f>AD39-AD40</f>
        <v>49000</v>
      </c>
      <c r="AE42" s="604" t="s">
        <v>12</v>
      </c>
      <c r="AF42" s="604" t="s">
        <v>12</v>
      </c>
      <c r="AG42" s="503">
        <f>SUM(AG11:AG14,AG16,AG21:AG29,AG31)</f>
        <v>49000</v>
      </c>
    </row>
    <row r="43" spans="2:78" x14ac:dyDescent="0.2">
      <c r="C43" s="242" t="s">
        <v>75</v>
      </c>
      <c r="D43" s="243">
        <f>SUM(D40:D42)</f>
        <v>428817</v>
      </c>
      <c r="E43" s="243">
        <f t="shared" ref="E43:F43" si="75">SUM(E40:E42)</f>
        <v>49000</v>
      </c>
      <c r="F43" s="243">
        <f t="shared" si="75"/>
        <v>477817</v>
      </c>
      <c r="U43" s="243">
        <f>SUM(U11:U14,U16,U21:U29,U31)</f>
        <v>428817</v>
      </c>
      <c r="X43" s="243">
        <f>SUM(X40:X42)</f>
        <v>428817</v>
      </c>
      <c r="Z43" s="243"/>
      <c r="AA43" s="243"/>
      <c r="AB43" s="243"/>
      <c r="AC43" s="243"/>
      <c r="AD43" s="243">
        <f>SUM(AD11:AD14,AD17:AD18,AD21:AD29,AD32:AD37)</f>
        <v>49000</v>
      </c>
      <c r="AG43" s="243">
        <f>SUM(AG40:AG42)</f>
        <v>49000</v>
      </c>
    </row>
    <row r="44" spans="2:78" x14ac:dyDescent="0.2">
      <c r="AI44" s="251"/>
    </row>
  </sheetData>
  <mergeCells count="16">
    <mergeCell ref="Q3:S3"/>
    <mergeCell ref="BP7:BS7"/>
    <mergeCell ref="BU7:BZ7"/>
    <mergeCell ref="Z7:AG7"/>
    <mergeCell ref="D7:F7"/>
    <mergeCell ref="H7:K7"/>
    <mergeCell ref="L7:M7"/>
    <mergeCell ref="AI7:AL7"/>
    <mergeCell ref="AM7:AO7"/>
    <mergeCell ref="BK7:BN7"/>
    <mergeCell ref="O7:P7"/>
    <mergeCell ref="Q7:R7"/>
    <mergeCell ref="AV7:BA7"/>
    <mergeCell ref="BC7:BI7"/>
    <mergeCell ref="AQ7:AT7"/>
    <mergeCell ref="Q4:S4"/>
  </mergeCells>
  <phoneticPr fontId="2" type="noConversion"/>
  <conditionalFormatting sqref="P11 I11:J11">
    <cfRule type="cellIs" dxfId="0" priority="3" operator="notEqual">
      <formula>#REF!</formula>
    </cfRule>
  </conditionalFormatting>
  <pageMargins left="0.23622047244094491" right="0.23622047244094491" top="0.39370078740157483" bottom="0.51181102362204722" header="0.51181102362204722" footer="0.51181102362204722"/>
  <pageSetup paperSize="9" scale="59" orientation="landscape" r:id="rId1"/>
  <headerFooter alignWithMargins="0"/>
  <colBreaks count="3" manualBreakCount="3">
    <brk id="19" max="45" man="1"/>
    <brk id="34" max="45" man="1"/>
    <brk id="61" max="4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Rozdělení dotací 2012</vt:lpstr>
      <vt:lpstr>'Rozdělení dotací 2012'!Oblast_tisku</vt:lpstr>
    </vt:vector>
  </TitlesOfParts>
  <Company>Junák - svaz skautů a skautek ČR, Liberecký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dotací pro rok 2009</dc:title>
  <dc:subject>Dotace 2009 - Liberecký kraj</dc:subject>
  <dc:creator>Ondřej Peřina - Jerry</dc:creator>
  <dc:description>Podrobný rozpis dotací pro OJ v junáckém Libereckém kraji dle jednotlivých kritérií a s uvedeným srážek na základě nesplnění podmínek.</dc:description>
  <cp:lastModifiedBy>Ondrej Perina</cp:lastModifiedBy>
  <cp:lastPrinted>2012-05-23T06:06:06Z</cp:lastPrinted>
  <dcterms:created xsi:type="dcterms:W3CDTF">2007-05-30T13:55:11Z</dcterms:created>
  <dcterms:modified xsi:type="dcterms:W3CDTF">2016-09-02T15:28:48Z</dcterms:modified>
</cp:coreProperties>
</file>